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8" windowWidth="18978" windowHeight="11448" activeTab="0"/>
  </bookViews>
  <sheets>
    <sheet name="Реле и колодки" sheetId="1" r:id="rId1"/>
  </sheets>
  <definedNames/>
  <calcPr fullCalcOnLoad="1"/>
</workbook>
</file>

<file path=xl/sharedStrings.xml><?xml version="1.0" encoding="utf-8"?>
<sst xmlns="http://schemas.openxmlformats.org/spreadsheetml/2006/main" count="1127" uniqueCount="350">
  <si>
    <t>ООО “КОНТАКТ”</t>
  </si>
  <si>
    <t>Павел</t>
  </si>
  <si>
    <t>Анна</t>
  </si>
  <si>
    <t>Goodsky</t>
  </si>
  <si>
    <t>Tianbo</t>
  </si>
  <si>
    <t>Asiaon</t>
  </si>
  <si>
    <t>Наименование</t>
  </si>
  <si>
    <t>Произво-
дитель</t>
  </si>
  <si>
    <t>Наличие</t>
  </si>
  <si>
    <t>Коробка</t>
  </si>
  <si>
    <t>JQX-40F-2Z-24VDC, управление 24vDC, 2перекл. гр, 40А на гр, потребление 2.0W</t>
  </si>
  <si>
    <t>JQX-60F-1Z-24VDC, управление 24vDC, 1перекл. гр, 60А на гр, потребление 2.0W</t>
  </si>
  <si>
    <t>JQX-82F-1Z-12VDC-150A, управление 12vDC, 1 перекл. гр, 150А на гр, потребление 3.0W</t>
  </si>
  <si>
    <t>Forward</t>
  </si>
  <si>
    <t>P-12, управление 12vDC, 2перекл. гр, 1А на гр, потребление 0.14W</t>
  </si>
  <si>
    <t>RWH-SH-103D, управление 03vDC, 1перекл. гр, 12А на гр, потребление 0.36W</t>
  </si>
  <si>
    <t>Helishun</t>
  </si>
  <si>
    <t>HLS-102F-DC24V, управление 24vDC, 1вкл. гр, 20А на гр, потребление 0.9W</t>
  </si>
  <si>
    <t>HLS-14F2D-DC12V-C, управление 12vDC, 1перекл. гр, 16А на гр, потребление 0.72W</t>
  </si>
  <si>
    <t>HLS-14F2D-DC24V-C, управление 24vDC, 1перекл. гр, 16А на гр, потребление 0.72W</t>
  </si>
  <si>
    <t>HLS-14F2L-DC12V-C, управление 12vDC, 1перекл. гр, 16А на гр, потребление 0.53W</t>
  </si>
  <si>
    <t>HLS-14F3D-DC12V-C, управление 12vDC, 2перекл. гр, 5А на гр, потребление 0.72W</t>
  </si>
  <si>
    <t>HLS-14F3D-DC24V-C, управление 24vDC, 2перекл. гр, 5А на гр, потребление 0.72W</t>
  </si>
  <si>
    <t>HLS-14F3L-DC12V-C, управление 12vDC, 2перекл. гр, 5А на гр, потребление 0.53W</t>
  </si>
  <si>
    <t>HLS-14F3L-DC24V-C, управление 24vDC, 2перекл. гр, 5А на гр, потребление 0.53W</t>
  </si>
  <si>
    <t>HLS-4453(18F)-DC12V-2C, управление 12vDC, 2перекл. гр, 5А на гр, потребление 0.9W</t>
  </si>
  <si>
    <t>HLS-4453(18F)-DC12V-3C, управление 12vDC, 3перекл. гр, 5А на гр, потребление 0.9W</t>
  </si>
  <si>
    <t>HLS-4453(18F)-DC24V-2C, управление 24vDC, 2перекл. гр, 5А на гр, потребление 0.9W</t>
  </si>
  <si>
    <t>HLS-4453(18F)-DC24V-3C, управление 24vDC, 3перекл. гр, 5А на гр, потребление 0.9W</t>
  </si>
  <si>
    <t>HLS-4453(18F)-DC24V-4C, управление 24vDC, 4перекл. гр, 5А на гр, потребление 0.9W</t>
  </si>
  <si>
    <t>HLS-CMA3-1-DC12V-C-NS-P, управление 12vDC, 1перекл. гр, 80А на гр, без ушка, выводы под пайку в плату, потребление 1.8W</t>
  </si>
  <si>
    <t>HLS-T91(16F)-1-DC12V-C, управление 12vDC, 1перекл. гр, 20А на гр, потребление 0.93W</t>
  </si>
  <si>
    <t>P-24, управление 24vDC, 2перекл. гр, 1А на гр, потребление 0.14W</t>
  </si>
  <si>
    <t>P-5, управление 5vDC, 2перекл. гр, 1А на гр, потребление 0.14W</t>
  </si>
  <si>
    <t>Реле и колодки</t>
  </si>
  <si>
    <t>PT53F-11A-3Z-16A, для реле 62.3х, 735, JQX-53F, RPT, RUC, 3 гр, 16А на гр., монтаж на DIN рейку, болтовой зажим, для клеммы 4,8x0,5мм</t>
  </si>
  <si>
    <t>RT624-B, для реле 40.3х, 41.3x, EMI-1P, 845, 881, 888, TRA1, 1 гр, монтаж на DIN рейку, болтовой зажим</t>
  </si>
  <si>
    <t>HLS-4453(18F)-AC24V-3C, управление 24vAC, 3перекл. гр, 5А на гр, потребление 1.2VA</t>
  </si>
  <si>
    <t>HLS-4453(18F)-AC24V-4C, управление 24vAC, 4перекл. гр, 5А на гр, потребление 1.2VA</t>
  </si>
  <si>
    <t>HLS-14F2L-DC24V-C, управление 24vDC, 1перекл. гр, 16А на гр, потребление 0.53W</t>
  </si>
  <si>
    <t>HLS-T91(16F)-3-DC12V-C, управление 12vDC, 1перекл. гр, 20А на гр, потребление 0.93W</t>
  </si>
  <si>
    <t>HLS-T91(16F)-3-DC24V-C, управление 24vDC, 1перекл. гр, 20А на гр, потребление 0.93W</t>
  </si>
  <si>
    <t>HLS-T90(15F)-DC12V-C, управление 12vDC, 1перекл. гр, 20А на гр, потребление 0.93W</t>
  </si>
  <si>
    <t>HLS-T90(15F)-DC24V-C, управление 24vDC, 1перекл. гр, 20А на гр, потребление 0.93W</t>
  </si>
  <si>
    <t>JQX-62F-2Z-220VAC-80A, управление 220vAC, 2перекл. гр, 80А на гр, потребление 4.0VA</t>
  </si>
  <si>
    <t>HJR1-2C L-12VDC, управление 12vDC, 2перекл. гр, 2А на гр, потребление 0.2W</t>
  </si>
  <si>
    <t>HJR1-2C L-24VDC, управление 24vDC, 2перекл. гр, 2А на гр, потребление 0.2W</t>
  </si>
  <si>
    <t>JQX-53F-3Z-24VAC, управление 24vAC, 3перекл. гр, 16А на гр, потребление 2.5VA</t>
  </si>
  <si>
    <t>JQX-53FS-3Z-24VAC, управление 24vAC, 3перекл. гр, 16А на гр, крепежный фланец на крышке, потребление 2.5VA</t>
  </si>
  <si>
    <t>HLS-14F1L-DC12V-C, управление 12vDC, 1перекл. гр, 10А на гр, потребление 0.53W</t>
  </si>
  <si>
    <t>HLS-14F1L-DC24V-C, управление 24vDC, 1перекл. гр, 10А на гр, потребление 0.53W</t>
  </si>
  <si>
    <t>HLS8-22F-DC12V-C, управление 12vDC, 1перекл. гр, 10А на гр, потребление 0.36W</t>
  </si>
  <si>
    <t>HLS8-22F-DC24V-C, управление 24vDC, 1перекл. гр, 10А на гр, потребление 0.36W</t>
  </si>
  <si>
    <t>HLS-T78-DC12V-C, управление 12vDC, 1перекл. гр, 20А на гр, потребление 0.6W</t>
  </si>
  <si>
    <t>HLS-T78-DC24V-C, управление 24vDC, 1перекл. гр, 20А на гр, потребление 0.6W</t>
  </si>
  <si>
    <t>TR5V L-12VDC-S-Z, управление 12vDC, 1перекл. гр, 1А на гр, потребление 0.2W</t>
  </si>
  <si>
    <t>HLS-CMA3-DC24V-C-NS, управление 24vDC, 1перекл. гр, 40А на гр, без ушка, потребление 1.6W</t>
  </si>
  <si>
    <t>HLS-14F1L-DC5V-C, управление 5vDC, 1перекл. гр, 10А на гр, потребление 0.53W</t>
  </si>
  <si>
    <t>HLS-14F2L-DC5V-C, управление 5vDC, 1перекл. гр, 16А на гр, потребление 0.53W</t>
  </si>
  <si>
    <t>HLS-14F3L-DC5V-C, управление 5vDC, 2перекл. гр, 5А на гр, потребление 0.53W</t>
  </si>
  <si>
    <t>HLS8-22F-DC5V-C, управление 5vDC, 1перекл. гр, 10А на гр, потребление 0.36W</t>
  </si>
  <si>
    <t>HLS8-22F-DC9V-C, управление 9vDC, 1перекл. гр, 10А на гр, потребление 0.36W</t>
  </si>
  <si>
    <t>HLS-T78-DC5V-C, управление 5vDC, 1перекл. гр, 20А на гр, потребление 0.6W</t>
  </si>
  <si>
    <t>HRM4-S-DC5V, управление 5vDC, 2вкл. гр, 5А на гр, потребление 0.54W</t>
  </si>
  <si>
    <t>PLF-X12, для реле 34.хх, 882, APF, AZ699, FTR-LY, HF41F, LR, RM699, RNC1, RSS-110, V23092 серии, управление 12vDC, 1 гр, светодиод, монтаж на DIN рейку, болтовой зажим</t>
  </si>
  <si>
    <t>Finder</t>
  </si>
  <si>
    <t>Song Chuan</t>
  </si>
  <si>
    <t>607-2CC-DM-4 12VDC, управление 12vDC, 2перекл. гр, 12А на гр, диод, светодиод, ручной тест</t>
  </si>
  <si>
    <t>HONGFA</t>
  </si>
  <si>
    <t>HFD4/12-L, управление 12vDC, 2перекл. гр, 2А на гр,  1катушка, поляризованное, потребление 0.1W</t>
  </si>
  <si>
    <t>BS-20-P, для колодок CSR-хх, RT-6хх, PI-хх, для реле высотой 19-20мм, 40.хх, 845, 793, HLS-14Fхх, JQX-14Fхх, MI-хх, TRAх пластик</t>
  </si>
  <si>
    <t>B-15F, для колодок CSR-, RT-, PI-, 95-, для реле высотой 15-16мм, 41.хх, 881-хх, 888-хх, JQX-115F, EMI-хх, EZ-хх, HF115-хх, TRCх, пластик</t>
  </si>
  <si>
    <t>303-1AH-S 12VDC, управление 12vDC, 1вкл. гр, 16А на гр</t>
  </si>
  <si>
    <t>4117-U-S-20A-24VDC, управление 24vDC, 1перекл.гр,  20А на гр</t>
  </si>
  <si>
    <t>835-1A-B-C 24VDC, управление 24vDC, 1вкл. гр, 10А на гр</t>
  </si>
  <si>
    <t>HLS-14F3L-DC12V-C-T, управление 12vDC, 2перекл. гр, 5А на гр, потребление 0.53W, прозрачный корпус</t>
  </si>
  <si>
    <t>HLS-4120-DC12V-S-AE, управление 12vDC, 1вкл. гр, 40А на гр, размеры Европа, потребление 1.6W</t>
  </si>
  <si>
    <t>HLS-4120-DC12V-S-CE, управление 12vDC, 1перекл. гр, 30А на гр, размеры Европа, потребление 1.6W</t>
  </si>
  <si>
    <t>HLS-4120-DC24V-S-AE, управление 24vDC, 1вкл. гр, 40А на гр, размеры Европа, потребление 1.6W</t>
  </si>
  <si>
    <t>HLS-4120-DC24V-S-CE, управление 24vDC, 1перекл. гр, 30А на гр, размеры Европа, потребление 1.6W</t>
  </si>
  <si>
    <t>HLS-CMA3-1-DC24V-C-NS-P, управление 24vDC, 1перекл. гр, 80А на гр, без ушка, выводы под пайку в плату, потребление 1.8W</t>
  </si>
  <si>
    <t>Заказ</t>
  </si>
  <si>
    <t>301-1C-D-R1 24VDC, управление 24vDC, 1перекл. гр, 35А на гр, 1/2W резистор 2.7 кОм, потребление 1.2W</t>
  </si>
  <si>
    <t>FRT5-L1-DC12V, управление 12vDC, 2перекл. гр, 1А на гр,  1катушка, поляризованное, потребление 0.1W</t>
  </si>
  <si>
    <t>FRT5-L1-DC24V, управление 24vDC, 2перекл. гр, 1А на гр,  1катушка, поляризованное, потребление 0.15W</t>
  </si>
  <si>
    <t>HJR1-2C L-05VDC, управление 5vDC, 2перекл. гр, 2А на гр, потребление 0.2W</t>
  </si>
  <si>
    <t>HJR-3FF-05VDC-S-Z, управление 5vDC, 1перекл. гр, 7А на гр, потребление 0.36W</t>
  </si>
  <si>
    <t>HJR-4102 L-12VDC-S-Z, управление 12vDC, 1перекл. гр, 3А на гр, потребление 0.2W</t>
  </si>
  <si>
    <t>HJR-4102 L-24VDC-S-Z, управление 24vDC, 1перекл. гр, 3А на гр, потребление 0.2W</t>
  </si>
  <si>
    <t>HJR-4102E L-12VDC-S-Z, управление 12vDC, 1перекл. гр, 3А на гр, потребление 0.2W</t>
  </si>
  <si>
    <t>B-35B, для колодок CST, PYF-14, RT704, 94.xx для реле 55.xx, 952, AE, DRM570, HH54, HF18FF, HLS-4453, HHC68B, HJQ-22F, HK18F, JZX-18FF, LT, Rx, MPM, MY4, R4, RE, SCLD, SMB, SMET, TRY, WJ152 пластик</t>
  </si>
  <si>
    <t>BP-36-MS, для колодок PY-14, 94.24, 18F-4Z-A1, CST-Q14, SU4L для реле 55.xx, 952, AE, DRM570, HH54, HF18FF, HLS-4453, HHC68B, HJQ-22F, HK18F, JZX-18FF, LT, Rx, MPM, MY4, R4, RE, SCLD, SMB, SMET, TRY, WJ152 металл</t>
  </si>
  <si>
    <t>K-35, для колодок CST, PYF-14, RT704, 94.xx для реле 55.xx, 952, AE, DRM570, HH54, HF18FF, HLS-4453, HHC68B, HJQ-22F, HK18F, JZX-18FF, LT, Rx, MPM, MY4, R4, RE, SCLD, SMB, SMET, TRY, WJ152 пластик</t>
  </si>
  <si>
    <t>HJR-4102 L-05VDC-S-Z, управление 5vDC, 1перекл. гр, 3А на гр, потребление 0.2W</t>
  </si>
  <si>
    <t>K-35T, для колодок PY-14, 94.24, 18F-4Z-A1, CST-Q14, SU4L для реле 55.xx, 952, AE, DRM570, HH54, HF18FF, HLS-4453, HHC68B, HJQ-22F, HK18F, JZX-18FF, LT, Rx, MPM, MY4, R4, RE, SCLD, SMB, SMET, TRY, WJ152 металл</t>
  </si>
  <si>
    <t>HLS-CMA3-DC12V-C, управление 12vDC, 1перекл. гр, 40А на гр, металлическое ушко(съемное), потребление 1.6W</t>
  </si>
  <si>
    <t>HLS-CMA3-DC24V-C, управление 24vDC, 1перекл. гр, 40А на гр, металлическое ушко(съемное), потребление 1.6W</t>
  </si>
  <si>
    <t>В пути</t>
  </si>
  <si>
    <t>8-9 нед.</t>
  </si>
  <si>
    <t>JQX-38F-3Z-12VDC, управление 12vDC, 3перекл. гр, 40А на гр, потребление 2.5W</t>
  </si>
  <si>
    <t>JQX-62F-2Z-12VDC-80A, управление 12vDC, 2перекл. гр, 80А на гр, потребление 2.0W</t>
  </si>
  <si>
    <t>JQX-62F-2Z-24VDC-80A, управление 24vDC, 2перекл. гр, 80А на гр, потребление 2.0W</t>
  </si>
  <si>
    <t>66.82.9.024.0000, управление 24vDC, 2перекл. гр, 30А на гр</t>
  </si>
  <si>
    <t>NT76-C-Z-DC9V-0.45W, управление 9vDC, 1перекл.гр, 16А на гр</t>
  </si>
  <si>
    <t>HLS-4453(18F)-AC240V-2C, управление 220vAC, 2 перекл. гр, 5А на гр, потребление 1.2VA</t>
  </si>
  <si>
    <t>HLS-4453(18F)-AC240V-3C, управление 220vAC, 3перекл. гр, 5А на гр, потребление 1.2VA</t>
  </si>
  <si>
    <t>PK-12, управление 12vDC, 2перекл. гр, 1А на гр, 2катушки, поляризованное, потребление 0.2W</t>
  </si>
  <si>
    <t>PK-5, управление 5vDC, 2перекл. гр, 1А на гр, 2катушки, поляризованное, потребление 0.2W</t>
  </si>
  <si>
    <t>От</t>
  </si>
  <si>
    <t>HLS8L-DC12V-S-C (HLS-T73), управление 12vDC, 1перекл. гр, 10А на гр, потребление 0.36W</t>
  </si>
  <si>
    <t>HLS8L-DC24V-S-C (HLS-T73), управление 24vDC, 1перекл. гр, 10А на гр, потребление 0.36W</t>
  </si>
  <si>
    <t>HLS8L-DC48V-S-C (HLS-T73), управление 48vDC, 1перекл. гр, 10А на гр, потребление 0.36W</t>
  </si>
  <si>
    <t>HLS8L-DC5V-S-C (HLS-T73), управление 5vDC, 1перекл. гр, 10А на гр, потребление 0.36W</t>
  </si>
  <si>
    <t>HLS8L-DC9V-S-C (HLS-T73), управление 9vDC, 1перекл. гр, 10А на гр, потребление 0.36W</t>
  </si>
  <si>
    <t>HJR-3FF-18VDC-S-Z, управление 18vDC, 1перекл. гр, 7А на гр, потребление 0.36W</t>
  </si>
  <si>
    <t>Прочие</t>
  </si>
  <si>
    <t>HF152F/012-1ZS, управление 12vDC, 1перекл. гр, 16А на гр, потребление 0.36W</t>
  </si>
  <si>
    <t>HFD4/12, управление 12vDC, 2перекл. гр, 2А на гр, потребление 0.14W</t>
  </si>
  <si>
    <t>&gt;1000</t>
  </si>
  <si>
    <t>HFV11/12-HSR, управление 12vDC, 1вкл. гр, 20А на гр, резистор 1кОм, потребление 1.1W</t>
  </si>
  <si>
    <t>HF42F/024-2HST, управление 24vDC, 2вкл. гр, 5А на гр, потребление 0.53W</t>
  </si>
  <si>
    <t>HF46F/5-HS1, управление 5vDC, 1вкл. гр, 5А на гр, потребление 0.2W</t>
  </si>
  <si>
    <t>HF46F/12-HS1, управление 12vDC, 1вкл. гр, 5А на гр, потребление 0.2W</t>
  </si>
  <si>
    <t>HF46F/24-HS1, управление 24vDC, 1вкл. гр, 5А на гр, потребление 0.2W</t>
  </si>
  <si>
    <t>881-2CC-F-C 110VDC, управление 110vDC, 2перекл. гр, 10А на гр</t>
  </si>
  <si>
    <t>JQX-120F-1Z-24VDC-100A, управление 24vDC, 1перекл. гр, 100А на гр, потребление 3.6W</t>
  </si>
  <si>
    <t>HLS-14F2L-DC9V-C, управление 9vDC, 1перекл. гр, 16А на гр, потребление 0.53W</t>
  </si>
  <si>
    <t>pavel@orele.ru</t>
  </si>
  <si>
    <t>anna@orele.ru</t>
  </si>
  <si>
    <t>http://orele.ru/</t>
  </si>
  <si>
    <t>TRA3 D-12VDC-S-2Z, управление 12vDC, 2перекл. гр, 5А на гр, потребление 0.72W</t>
  </si>
  <si>
    <t>TRAF D-12VDC-S-H, управление 12vDC, 1вкл. гр, 25А на гр, потребление 0.9W</t>
  </si>
  <si>
    <t>HLS-14F3L-DC48V-C, управление 48vDC, 2перекл. гр, 5А на гр, потребление 0.53W</t>
  </si>
  <si>
    <t>HLS-14F2L-DC48V-C, управление 48vDC, 1перекл. гр, 16А на гр, потребление 0.53W</t>
  </si>
  <si>
    <t>NT75-1C-S-16-DC5V-0.41-5.0, управление 5vDC, 1перекл. гр, 16А на гр, потребление 0.41W</t>
  </si>
  <si>
    <t>NT75-1C-S-16-DC12V-0.41-5.0, управление 12vDC, 1перекл. гр, 16А на гр, потребление 0.41W</t>
  </si>
  <si>
    <t>NT75-2C-S-8-DC12V-0.41-5.0, управление 12vDC, 1перекл. гр, 8А на гр, потребление 0.41W</t>
  </si>
  <si>
    <t>NT75-1A-S-16-DC12V-0.41-5.0, управление 12vDC, 1вкл. гр, 16А на гр, потребление 0.41W</t>
  </si>
  <si>
    <t>NT75-1C-S-16-DC24V-0.41-5.0, управление 24vDC, 1перекл. гр, 16А на гр, потребление 0.41W</t>
  </si>
  <si>
    <t>PL-5, управление 5vDC, 2перекл. гр, 1А на гр, 1катушка, поляризованное, потребление 0.1W</t>
  </si>
  <si>
    <t>PK-24, управление 24vDC, 2перекл. гр, 1А на гр, 2катушки, поляризованное, потребление 0.3W</t>
  </si>
  <si>
    <t>HJQ-15F-1-24VDC-S-Z, управление 24vDC, 1перекл. гр, 20А на гр, потребление 0.93W</t>
  </si>
  <si>
    <t>NT90-HCS-DC12V-SB-0.9, управление 12vDC, 1перекл. гр, 30А на гр, потребление 0.9W</t>
  </si>
  <si>
    <t>NT90T-NCS-DC12V-SB-0.9, управление 12vDC, 1перекл. гр, 40А на гр, потребление 0.9W</t>
  </si>
  <si>
    <t>NT90T-NCS-DC24V-SB-0.9, управление 24vDC, 1перекл. гр, 40А на гр, потребление 0.9W</t>
  </si>
  <si>
    <t>NT90-NCS-DC5V-SB-0.9, управление 5vDC, 1перекл. гр, 40А на гр, потребление 0.9W</t>
  </si>
  <si>
    <t>NT90-NCS-DC24V-SB-0.9, управление 24vDC, 1перекл. гр, 40А на гр, потребление 0.9W</t>
  </si>
  <si>
    <t>NT90T-HCS-DC24V-SB-0.9, управление 24vDC, 1перекл. гр, 30А на гр, потребление 0.9W</t>
  </si>
  <si>
    <t>JZC-32F-C-S-5-DC12V-0.45, управление 12vDC, 1перекл. гр, 5А на гр, потребление 0.45W</t>
  </si>
  <si>
    <t>JZC-32F-C-S-5-DC24V-0.45, управление 24vDC, 1перекл. гр, 5А на гр, потребление 0.45W</t>
  </si>
  <si>
    <t>JZC-33F-C-S-5-DC12V-0.45, управление 12vDC, 1перекл. гр, 5А на гр, потребление 0.45W</t>
  </si>
  <si>
    <t>JZC-33F-C-S-5-DC24V-0.45, управление 24vDC, 1перекл. гр, 5А на гр, потребление 0.45W</t>
  </si>
  <si>
    <t>JZC-33F-C-S-5-DC5V-0.45, управление 5vDC, 1перекл. гр, 5А на гр, потребление 0.45W</t>
  </si>
  <si>
    <t>NT75-2C-S-8-DC24V-0.41-5.0, управление 24vDC, 1перекл. гр, 8А на гр, потребление 0.41W</t>
  </si>
  <si>
    <t>NT75-2C-S-8-DC5V-0.41-5.0, управление 5vDC, 1перекл. гр, 8А на гр, потребление 0.41W</t>
  </si>
  <si>
    <t>NT90T-NLCS-DC12V-SB-0.9, управление 12vDC, 1перекл. гр, 40А на гр, открытые контакты, потребление 0.9W</t>
  </si>
  <si>
    <t>HJR-4102E L-24VDC-S-Z, управление 24vDC, 1перекл. гр, 3А на гр, потребление 0.2W</t>
  </si>
  <si>
    <t>201WP-1AC-F-C 12VDC, управление 12vDC</t>
  </si>
  <si>
    <t>896H-1AH-D-24VDC-R1, управление 24vDC, 1вкл. гр, 20А на гр, резистор</t>
  </si>
  <si>
    <t>896H-1CH-D-24VDC, управление 24vDC, 1перекл. гр, 20А на гр</t>
  </si>
  <si>
    <t>DIR-S8-112A, управление 12vDC</t>
  </si>
  <si>
    <t>EMR-109D-3N, управление 9vDC, 1перекл. гр, 8А на гр, потребление 0.22W</t>
  </si>
  <si>
    <t>HLS-13F-2-AC240V, управление 240vAC, 2перекл. гр, 10А на гр, клеммы, потребление 1.2VA</t>
  </si>
  <si>
    <t>JQX-62F-1Z-220VAC-80A, управление 220vAC, 1перекл. гр, 80А на гр, потребление 4.0VA</t>
  </si>
  <si>
    <t>HLS8L-DC12V-S-A (HLS-T73), управление 12vDC, 1вкл. гр, 10А на гр, потребление 0.36W</t>
  </si>
  <si>
    <t>HF152F/012-1HS, управление 12vDC, 1вкл. гр, 17А на гр, потребление 0.36W</t>
  </si>
  <si>
    <t>HFD4/5, управление 5vDC, 2перекл. гр, 2А на гр, потребление 0.14W</t>
  </si>
  <si>
    <t>HLS-CMA3-1-DC12V-C-Q, управление 12vDC, 1перекл. гр, 80А на гр, пластиковое ушко, потребление 1.8W</t>
  </si>
  <si>
    <t>HLS-CMA3-DC12V-C-D1, управление 12vDC, 1перекл. гр, 40А на гр, металлическое ушко(съемное), 1N4007, 85+, потребление 1.6W</t>
  </si>
  <si>
    <t>HLS-CMA3-DC12V-C-NS-P, управление 12vDC, 1перекл. гр, 40А на гр, без ушка, выводы под пайку в плату, герметичное, потребление 1.6W</t>
  </si>
  <si>
    <t>HLS-CMA3-DC24V-A, управление 24vDC, 1вкл. гр, 40А на гр, металлическое ушко(съемное), потребление 1.6W</t>
  </si>
  <si>
    <t>NT76-C-S-DC12V-0.45-W, управление 12vDC, 1перекл.гр, 16А на гр, потребление 0.45W</t>
  </si>
  <si>
    <t>NT76-C-S-DC24V-0.45-W, управление 24vDC, 1перекл.гр, 16А на гр, потребление 0.45W</t>
  </si>
  <si>
    <t>NT76-C-S-DC5V-0.45-W, управление 5vDC, 1перекл.гр, 16А на гр, потребление 0.45W</t>
  </si>
  <si>
    <t>NT77-A-S-12-DC12V, управление 12vDC, 1вкл.гр, 12А на гр, потребление 0.45W</t>
  </si>
  <si>
    <t>NT77-A-S-12-DC24V, управление 24vDC, 1вкл.гр, 12А на гр, потребление 0.45W</t>
  </si>
  <si>
    <t>NT75-1A-S-16-DC24V-0.41-5.0, управление 24vDC, 1вкл. гр, 16А на гр, потребление 0.41W</t>
  </si>
  <si>
    <t>HLS-14F3L-DC9V-C, управление 9vDC, 2перекл. гр, 5А на гр, потребление 0.53W</t>
  </si>
  <si>
    <t>JZC-32F-C-S-5-DC5V-0.45, управление 5vDC, 1перекл. гр, 5А на гр, потребление 0.45W</t>
  </si>
  <si>
    <t>NT90-HCS-DC24V-SB-0.9, управление 24vDC, 1перекл. гр, 30А на гр, потребление 0.9W</t>
  </si>
  <si>
    <t>B-25C, для колодок CSR-хх, RT-6хх, PI-хх, для реле высотой 25-27мм, 793-xx, 942, G2R, GZR-x, HF140FF, пластик</t>
  </si>
  <si>
    <t>HLS-CMA3-DC24V-C-D1, управление 24vDC, 1перекл. гр, 40А на гр, металлическое ушко(съемное), 1N4007, 85+, потребление 1.6W</t>
  </si>
  <si>
    <t>NT95L-A-D-Z-DC12V, управление 12vDC, 1вкл.гр, 50А на гр, 2катушки, поляризованное, потребление 2 x 3.0W, ручной тест</t>
  </si>
  <si>
    <t>NT95L-A-D-Z-DC24V, управление 24vDC, 1вкл.гр, 50А на гр, 2катушки, поляризованное, потребление 2 x 3.0W, ручной тест</t>
  </si>
  <si>
    <t>NT95L-A-Z-DC12V, управление 12vDC, 1вкл.гр, 50А на гр, 1катушка, поляризованное, потребление 1.5W, ручной тест</t>
  </si>
  <si>
    <t>NT95L-A-Z-DC24V, управление 24vDC, 1вкл.гр, 50А на гр, 1катушка, поляризованное, потребление 1.5W, ручной тест</t>
  </si>
  <si>
    <t>Qianji</t>
  </si>
  <si>
    <t>4181(T74)-12VDC-0.6, управление 12vDC, 1перекл. гр, 20А на гр, потребление 0.6W</t>
  </si>
  <si>
    <t>4181(T74)-24VDC-0.6, управление 24vDC, 1перекл. гр, 20А на гр, потребление 0.6W</t>
  </si>
  <si>
    <t>JQC-3F(T73)-12VDC-0.36, управление 12vDC, 1перекл. гр, 7А на гр, потребление 0.36W</t>
  </si>
  <si>
    <t>JQC-3F(T73)-24VDC-0.36, управление 24vDC, 1перекл. гр, 7А на гр, потребление 0.36W</t>
  </si>
  <si>
    <t>JQC-3F(T73)-5VDC-0.36, управление 5vDC, 1перекл. гр, 7А на гр, потребление 0.36W</t>
  </si>
  <si>
    <t>JRC-19F(4078)-12VDC-0.2, управление 12vDC, 2перекл. гр, 2А на гр, потребление 0.2W</t>
  </si>
  <si>
    <t>JRC-19F(4078)-5VDC-0.2, управление 5vDC, 2перекл. гр, 2А на гр, потребление 0.2W</t>
  </si>
  <si>
    <t>JRC-21F(4100)-12VDC-0.2, управление 12VDC, 1перекл. гр, 3А на гр, потребление 0.2W</t>
  </si>
  <si>
    <t>JRC-21F(4100)-24VDC-0.2, управление 24VDC, 1перекл. гр, 3А на гр, потребление 0.2W</t>
  </si>
  <si>
    <t>JRC-21F(4100)-5VDC-0.2, управление 5VDC, 1перекл. гр, 3А на гр, потребление 0.2W</t>
  </si>
  <si>
    <t>JQX-15F(T90)-12VDC-30A-0.9, управление 12vDC, 1перекл. гр, 30А на гр, потребление 0.9W</t>
  </si>
  <si>
    <t>JQX-15F(T90)-12VDC-40A-0.9, управление 12vDC, 1перекл. гр, 40А на гр, потребление 0.9W</t>
  </si>
  <si>
    <t>JQX-15F(T90)-24VDC-30A-0.9, управление 24vDC, 1перекл. гр, 30А на гр, потребление 0.9W</t>
  </si>
  <si>
    <t>JQX-15F(T90)-24VDC-40A-0.9, управление 24vDC, 1перекл. гр, 40А на гр, потребление 0.9W</t>
  </si>
  <si>
    <t>JQX-30F(T91)-12VDC-30A-0.9, управление 12vDC, 1перекл. гр, 30А на гр, потребление 0.9W</t>
  </si>
  <si>
    <t>JQX-30F(T91)-12VDC-40A-0.9, управление 12vDC, 1перекл. гр, 40А на гр, потребление 0.9W</t>
  </si>
  <si>
    <t>JQX-30F(T91)-24VDC-30A-0.9, управление 24vDC, 1перекл. гр, 30А на гр, потребление 0.9W</t>
  </si>
  <si>
    <t>JQX-30F(T91)-24VDC-40A-0.9, управление 24vDC, 1перекл. гр, 40А на гр, потребление 0.9W</t>
  </si>
  <si>
    <t>JQX-30F-2Z-12VDC-30A, управление 12vDC, 2перекл. гр, 30А на гр, потребление 2.5W</t>
  </si>
  <si>
    <t>HLS-4453(18F)-AC110V-4C, управление 110vAC, 4перекл. гр, 5А на гр, потребление 1.2VA</t>
  </si>
  <si>
    <t>HLS-4453(18F)-DC110V-4C, управление 110vDC, 4перекл. гр, 5А на гр, потребление 0.9W</t>
  </si>
  <si>
    <t>HLS-4453(18F)-DC48V-4C, управление 48vDC, 4перекл. гр, 5А на гр, потребление 0.9W</t>
  </si>
  <si>
    <t>HLS-T91(16F)-2-DC12V-C, управление 12vDC, 1перекл. гр, 20А на гр, открытые контакты, потребление 0.93W</t>
  </si>
  <si>
    <t>HLS-T91(16F)-2-DC48V-C, управление 48vDC, 1перекл. гр, 20А на гр, открытые контакты, потребление 0.93W</t>
  </si>
  <si>
    <t>JD1949-12VDC-C, управление 12vDC, 1перекл. гр, 80А на гр, клеммы, потребление 1.8W</t>
  </si>
  <si>
    <t>JD1949-24VDC-C, управление 24vDC, 1перекл. гр, 80А на гр, клеммы, потребление 1.8W</t>
  </si>
  <si>
    <t>JQX-62FH-1Z-12VDC-120A, управление 12vDC, 1 перекл. гр, 120А на гр, потребление 2.0W, крепление болты или DIN</t>
  </si>
  <si>
    <t>LY2-12VDC, управление 12vDC, 2перекл. гр, 10А на гр, клеммы, потребление 0.9W</t>
  </si>
  <si>
    <t>LY3-12VDC, управление 12vDC, 3перекл. гр, 10А на гр, клеммы, потребление 0.9W</t>
  </si>
  <si>
    <t>LY4-12VDC, управление 12vDC, 4перекл. гр, 10А на гр, клеммы, потребление 0.9W</t>
  </si>
  <si>
    <t>JD1939-12VDC-C, управление 12vDC, 1перекл. гр, 60А на гр, потребление 1.8W</t>
  </si>
  <si>
    <t>JD1939-24VDC-C, управление 24vDC, 1перекл. гр, 60А на гр, потребление 1.8W</t>
  </si>
  <si>
    <t>JQX-60F(JQX-58F)-1Z-12VDC-60A, управление 12vDC, 1перекл. гр, 60А на гр, потребление 2.0W</t>
  </si>
  <si>
    <t>JQX-60F(JQX-58F)-1Z-24VDC-60A, управление 24vDC, 1перекл. гр, 60А на гр, потребление 2.0W</t>
  </si>
  <si>
    <t>JQX-60F(JQX-58F)-1Z-12VDC-100A, управление 12vDC, 1перекл. гр, 100А на гр, потребление 2.0W</t>
  </si>
  <si>
    <t>JQX-60F-A-1Z-12VDC-80A, управление 12vDC, 1перекл. гр, 80А на гр, потребление 2.0W</t>
  </si>
  <si>
    <t>JRC-23F-12VDC-S-0.2, управление 12VDC, 1перекл. гр, 2А на гр, потребление 0.2W</t>
  </si>
  <si>
    <t>JRC-23F-24VDC-S-0.2, управление 24VDC, 1перекл. гр, 2А на гр, потребление 0.2W</t>
  </si>
  <si>
    <t>LY1-12VDC, управление 12vDC, 1перекл. гр, 16А на гр, клеммы, потребление 0.9W</t>
  </si>
  <si>
    <t>PYF11A(DYF11A), для реле 22F, 55.33, AE, HF18FF, HLS-4453-3C, Rx, RE, SCK, 3 гр, без клипс, монтаж на DIN рейку</t>
  </si>
  <si>
    <t>PYF14A(DYF14A), для реле 55.xx, 952, AE, DRM570, HH54, HF18FF, HLS-4453, HHC68B, HJQ-22F, HK18F, JZX-18FF, LT, Rx, MPM, MY4, R4, RE, SCLD, SMB, SMET, TRY, WJ152 серии, 4 гр, без клипс, монтаж на DIN рейку</t>
  </si>
  <si>
    <t>HF49FD/012-1H11, управление 12vDC, 1вкл. гр, 5А на гр, расстояние между выводов 5.08мм, потребление 0.12W</t>
  </si>
  <si>
    <t>HF49FD/005-1H11, управление 5vDC, 1вкл. гр, 5А на гр, расстояние между выводов 5.08мм, потребление 0.12W</t>
  </si>
  <si>
    <t>HF49FD/024-1H11, управление 24vDC, 1вкл. гр, 5А на гр, расстояние между выводов 5.08мм, потребление 0.12W</t>
  </si>
  <si>
    <t>Цена*</t>
  </si>
  <si>
    <t>TRG1H D-12VDC-S-H, управление 12vDC, 1вкл. гр, 10А на гр, потребление 0.45W</t>
  </si>
  <si>
    <t>TRG1H D-24VDC-S-H, управление 24vDC, 1вкл. гр, 10А на гр, потребление 0.45W</t>
  </si>
  <si>
    <t>CM6311-1H-12VDC, управление 12vDC, 1вкл. гр, 20А на гр, потребление 1.6W</t>
  </si>
  <si>
    <t>CM6311-1H-24VDC, управление 24vDC, 1вкл. гр, 20А на гр, потребление 1.6W</t>
  </si>
  <si>
    <t>HF7520/005-ZST, управление 5vDC, 1перекл. гр, 10А на гр, потребление 0.4W</t>
  </si>
  <si>
    <t>HF7520/012-ZST, управление 12vDC, 1перекл. гр, 10А на гр, потребление 0.4W</t>
  </si>
  <si>
    <t>HF7520/024-ZST, управление 24vDC, 1перекл. гр, 10А на гр, потребление 0.4W</t>
  </si>
  <si>
    <t>HFD4/12-SR, управление 12vDC, 2перекл. гр, 2А на гр, выводы под пайку SMD, потребление 0.14W</t>
  </si>
  <si>
    <t>HFD4/3-SR, управление 3vDC, 2перекл. гр, 2А на гр, выводы под пайку SMD, потребление 0.14W</t>
  </si>
  <si>
    <t>Цена включает НДС 20%</t>
  </si>
  <si>
    <t>Цена за 1 шт реле, от нормоупаковки</t>
  </si>
  <si>
    <t>CM6321-1H-12D, управление 12vDC, 1вкл. гр, 20А на гр, потребление 1.6W</t>
  </si>
  <si>
    <t>WE-PI, для колодок CSR-, PI-хх, RT-</t>
  </si>
  <si>
    <t xml:space="preserve"> </t>
  </si>
  <si>
    <t>JQX-60F(JQX-58F)-1Z-240VAC-60A, управление 240vAC, 1перекл. гр, 60А на гр, потребление 2.0W</t>
  </si>
  <si>
    <t>JRC-19F(4078)-24VDC-0.2, управление 24vDC, 2перекл. гр, 2А на гр, потребление 0.2W</t>
  </si>
  <si>
    <t>LY3-240VAC, управление 240vAC, 3перекл. гр, 10А на гр, клеммы, потребление 1.3VA</t>
  </si>
  <si>
    <t>LY3-24VDC, управление 24vDC, 3перекл. гр, 10А на гр, клеммы, потребление 0.9W</t>
  </si>
  <si>
    <t>LY4-240VAC, управление 240vAC, 4перекл. гр, 10А на гр, клеммы, потребление 1.3VA</t>
  </si>
  <si>
    <t>LY4-24VDC, управление 24vDC, 4перекл. гр, 10А на гр, клеммы, потребление 0.9W</t>
  </si>
  <si>
    <t>NT75-1C-S-12-DC12V-0.41-3.5, управление 12vDC, 1перекл. гр, 12А на гр, потребление 0.41W</t>
  </si>
  <si>
    <t>RT704, для реле 55.xx, 952, AE, DRM570, HH54, HF18FF, HLS-4453, HHC68B, HJQ-22F, HK18F, JZX-18FF, LT, Rx, MPM, MY4, R4, RE, SCLD, SMB, SMET, TRY, WJ152 серии, 4 гр, монтаж на DIN рейку, болтовой зажим</t>
  </si>
  <si>
    <t>TRS L-12VDC-S-Z, управление 12vDC, 1перекл. гр, 30А на гр, потребление 0.57W</t>
  </si>
  <si>
    <t>JQX-30F-2Z-240VAC-30A-T, управление 240vAC, 2перекл. гр, 30А на гр, потребление 4.0VA, прозрачный корпус</t>
  </si>
  <si>
    <t>JQX-40F-2Z-12VDC-40A, управление 12vDC, 2перекл. гр, 40А на гр, потребление 2.0W</t>
  </si>
  <si>
    <t>JQX-40F-2Z-240VAC-40A, управление 240vAC, 2перекл. гр, 40А на гр, потребление 2.5VA</t>
  </si>
  <si>
    <t>MK3P5-I-24VDC, управление 24vDC, 3перекл. гр, 10А на гр, потребление 1.5W, схема выводов N5</t>
  </si>
  <si>
    <t>MK3P-I-24VDC, управление 24vDC, 3перекл. гр, 10А на гр, потребление 1.5W, схема выводов N1</t>
  </si>
  <si>
    <t>NT75-1C-S-12-DC24V-0.41-3.5, управление 24vDC, 1перекл. гр, 12А на гр, потребление 0.41W</t>
  </si>
  <si>
    <t>NT75-1C-S-12-DC5V-0.41-3.5, управление 5vDC, 1перекл. гр, 12А на гр, потребление 0.41W</t>
  </si>
  <si>
    <t>G7L-TUB-2A-240VAC, управление 240vAC, 2вкл. гр, 25А на гр, потребление 2.5VA</t>
  </si>
  <si>
    <t>14FA-2Z, для реле 40.хх, 41.xx, 793, 845, 881, 888, EMI-2P, EZ, HLS-14F2, HLS-14F3, HF115, JQX-115F, JQX-14F, MI, NT75, TRA2, TRA3, TRC2, TRC3 серий, 2 гр, без клипсы, пайка</t>
  </si>
  <si>
    <t>RT625, для реле 40.хх, 41.xx, 793, 845, 881, 888, EMI, EZ, HLS-14F2, HLS-14F3, HF115, JQX-115F, JQX-14F, MI, NT75, TRA2, TRA3, TRC3, 2 гр, монтаж на DIN рейку, болтовой зажим</t>
  </si>
  <si>
    <t>RT626, для реле 40.хх, 41.xx, 793, 845, 881, 888, EMI, EZ, HLS-14F2, HLS-14F3, HF115, JQX-115F, MI, NT75, RT4xx, TRA2, TRA3, TRC3, 2 гр, монтаж на DIN рейку, болтовой зажим</t>
  </si>
  <si>
    <t>EZ-SH-112D, управление 12vDC, 1перекл. гр, 16А на гр, потребление 0.4W</t>
  </si>
  <si>
    <t>JQX-38F-3Z-240VAC, управление 240vAC, 3перекл. гр, 40А на гр, потребление 4.5VA</t>
  </si>
  <si>
    <t>JQX-38F-3Z-24VDC, управление 24vDC, 3перекл. гр, 40А на гр, потребление 2.5W</t>
  </si>
  <si>
    <t>JQX-38FS-3Z-240VAC, управление 240vAC, 3перекл. гр, 40А на гр, потребление 4.5VA, открытое (без крышки)</t>
  </si>
  <si>
    <t>JZX-18FH-4Z-240VAC, управление 240vAC, 4перекл. гр, 5А на гр, механический индикатор, ручной тест, потребление 1.2VA</t>
  </si>
  <si>
    <t>JZX-18FH-4Z-24VAC, управление 24vAC, 4перекл. гр, 5А на гр, механический индикатор, ручной тест, потребление 1.2VA</t>
  </si>
  <si>
    <t>JZX-18FH-4Z-24VDC, управление 24vDC, 4перекл. гр, 5А на гр, механический индикатор, ручной тест, потребление 0.9W</t>
  </si>
  <si>
    <t>38FA, для реле JQX-38F, HHC71B, WJ174, 3 гр, без клипс, монтаж на DIN рейку, ширина 42,5мм, болтовой зажим</t>
  </si>
  <si>
    <t>PF083A, для реле 60.12, HLS-MK2P, RK-2P, R15-2P, 2 гр, без клипс, монтаж на DIN рейку, ширина 40мм, болтовой зажим</t>
  </si>
  <si>
    <t>PF113A, для реле 60.13, 703, HLS-MK3P, MK3P, RK-3P, R15-3P, 3 гр, без клипс, монтаж на DIN рейку, ширина 43мм, болтовой зажим</t>
  </si>
  <si>
    <t>PTF08A(DTF08A), для реле 56.x2, HLS-13F-2C, JQX-13F-2C, LY2, RY2, SCL, HJQ-13F-2C, TRL-2C, 2 гр, без клипс, монтаж на DIN рейку, ширина 22мм, болтовой зажим</t>
  </si>
  <si>
    <t>PTF08.5A, для реле 56.x1, HLS-13F-1C, JQX-13F-1C, LY1, RY1, SCL, HJQ-13F-1С, TRL-1C, 1 гр, без клипс, монтаж на DIN рейку, ширина 30мм, болтовой зажим</t>
  </si>
  <si>
    <t>PTF11A(DTF11A), для реле 56.x3, HLS-13F-3C, JQX-13F-3C, LY3, RY3, HJQ-13F-3С, TRL-3C, 3 гр, без клипс, монтаж на DIN рейку, ширина 37мм, болтовой зажим</t>
  </si>
  <si>
    <t>PTF14A(DTF14A), для реле 56.хх, 951, DRL270, HF13F, HH62P, HHC68A, HJQ-13F, HK13F, HLS-13F, JQX-13F, LH, LY2, MPN, RET, RY2, SCL, SMBH, SME, TRL, WJ151 серии, 4 гр, без клипс, монтаж на DIN рейку, ширина 46мм, болтовой зажим</t>
  </si>
  <si>
    <t>HLS-CMA3-L-DC12V-C, управление 12vDC, 1перекл. гр, 40А на гр, металлическое ушко(съемное), потребление 1.2W</t>
  </si>
  <si>
    <t>4117-C-Z-10-12VDC-1.0, управление 12vDC, 1перекл.гр, 10А на гр, потребление 1W</t>
  </si>
  <si>
    <t>JQX-30F(T91)-1H-12VDC-30A-0.9, управление 12vDC, 1вкл. гр, 30А на гр, потребление 0.9W</t>
  </si>
  <si>
    <t>JQX-30F(T93)-48VDC-30A-0.9, управление 48vDC, 1перекл. гр, 30А на гр, потребление 0.9W</t>
  </si>
  <si>
    <t>NT90R-NCE-AC220V-SB, управление 220vAC, 1перекл. гр, 40А на гр, потребление 2VA, без 6 вывода</t>
  </si>
  <si>
    <t>NT90T-NCE-AC220V-SB, управление 220vAC, 1перекл. гр, 40А на гр, потребление 2VA</t>
  </si>
  <si>
    <t>NT90TP-NCE-AC220V-SF, управление 220vAC, 1перекл. гр, 40А на гр, температура до 155С°, потребление 2VA</t>
  </si>
  <si>
    <t>JD1949-24VDC-A, управление 24vDC, 1вкл. гр, 80А на гр, клеммы, потребление 1.8W</t>
  </si>
  <si>
    <t>JQX-30F-2Z-24VDC-30A-T, управление 24vDC, 2перекл. гр, 30А на гр, потребление 2.5W, прозрачный корпус</t>
  </si>
  <si>
    <t>JQX-40F-2Z-24VDC-40A, управление 24vDC, 2перекл. гр, 40А на гр, потребление 2.0W</t>
  </si>
  <si>
    <t>LY2-240VAC, управление 240vAC, 2перекл. гр, 10А на гр, клеммы, потребление 1.2VA</t>
  </si>
  <si>
    <t>LY2-24VDC, управление 24vDC, 2перекл. гр, 10А на гр, клеммы, потребление 0.9W</t>
  </si>
  <si>
    <t>MY4-240VAC, управление 240vAC, 4перекл. гр, 5А на гр, потребление 1.2VA</t>
  </si>
  <si>
    <t>38FB, для реле JQX-38F, HHC71B, WJ174, 3 гр, без клипс, монтаж на DIN рейку, болтовой зажим</t>
  </si>
  <si>
    <t>т/ф +7 (8634) 369-333</t>
  </si>
  <si>
    <t>+7 (918) 504-38-33</t>
  </si>
  <si>
    <t>+7 (918) 516-78-89</t>
  </si>
  <si>
    <t>K-35S, для колодок PTF(DTF), PYF(DYF) для реле 13F, 22F, 55.xx, JZX, LY, MY, Rx, RE, RET, SCLx, высота 35мм, металл</t>
  </si>
  <si>
    <t>JZX-18FH-4Z-12VDC-L, управление 12vDC, 4перекл. гр, 5А на гр, светодиод, ручной тест, потребление 0.9W</t>
  </si>
  <si>
    <t>QJ-80, для реле 46.3787, AZ979, CB1H, JD1949, HLS-CMA3-1, NRA-07, TRV6, TR94, YL368, 1 перекл. гр, провода</t>
  </si>
  <si>
    <t>HLS-CMA3-DC12V-A, управление 12vDC, 1вкл. гр, 40А на гр, металлическое ушко(съемное), потребление 1.6W</t>
  </si>
  <si>
    <t>JD1949-12VDC-A, управление 12vDC, 1вкл. гр, 80А на гр, клеммы, потребление 1.8W</t>
  </si>
  <si>
    <t>JQX-30F(T91)-1H-12VDC-40A-0.9, управление 12vDC, 1вкл. гр, 40А на гр, потребление 0.9W</t>
  </si>
  <si>
    <t>JQX-15F(T90)-5VDC-30A-0.9, управление 5vDC, 1перекл. гр, 30А на гр, потребление 0.9W</t>
  </si>
  <si>
    <t>MY3-24VDC, управление 24vDC, 3перекл. гр, 5А на гр, потребление 0.9W</t>
  </si>
  <si>
    <t>MY4-12VDC, управление 12vDC, 4перекл. гр, 5А на гр, потребление 0.9W</t>
  </si>
  <si>
    <t>LY1-24VDC, управление 24vDC, 1перекл. гр, 16А на гр, клеммы, потребление 0.9W</t>
  </si>
  <si>
    <t>LY1-240VAC, управление 240vAC, 1перекл. гр, 16А на гр, клеммы, потребление 1.2VA</t>
  </si>
  <si>
    <t>CM6311-1Z-12VDC, управление 12vDC, 1перекл. гр, 20А на гр, потребление 1.6W</t>
  </si>
  <si>
    <t>CM6311-1Z-24VDC, управление 24vDC, 1перекл. гр, 20А на гр, потребление 1.6W</t>
  </si>
  <si>
    <t>MK3P-I-240VAC, управление 240vAC, 3перекл. гр, 10А на гр, потребление 2.5VA, схема выводов N1</t>
  </si>
  <si>
    <t>JRC-23F-5VDC-S-0.15, управление 5VDC, 1перекл. гр, 2А на гр, потребление 0.15W</t>
  </si>
  <si>
    <t>HF152F-T/012-1ZPSTQ, управление 12vDC, 1перекл. гр, 16А на гр, температура до 105С°, дополнительные выводы, потребление 0.36W</t>
  </si>
  <si>
    <t>HLS-4453(18F)-DC12V-4C-P, управление 12vDC, 4перекл. гр, 5А на гр, ножки под пайку, потребление 0.9W</t>
  </si>
  <si>
    <t>JQX-80F(JQX-59F)-1Z-12VDC-120A, управление 12vDC, 1 перекл. гр, 120А на гр, пластиковые ушки, потребление 3.6W</t>
  </si>
  <si>
    <t>JQX-80F(JQX-59F)-S-2Z-12VDC-80A, управление 12vDC, 2перекл. гр, 80А на гр, металлическое основание, потребление 3.6W</t>
  </si>
  <si>
    <t>5-8 нед.</t>
  </si>
  <si>
    <t>HLS-4453(18F)-DC24V-4C-P, управление 24vDC, 4перекл. гр, 5А на гр, ножки под пайку, потребление 0.9W</t>
  </si>
  <si>
    <t>JQX-30F(T93)-24VDC-30A-0.9, управление 24vDC, 1перекл. гр, 30А на гр, потребление 0.9W</t>
  </si>
  <si>
    <t>JQX-102F-H-12VDC, управление 12vDC, 1вкл. гр, 20А на гр, потребление 0.9W</t>
  </si>
  <si>
    <t>MY4-24VDC, управление 24vDC, 4перекл. гр, 5А на гр, потребление 0.9W</t>
  </si>
  <si>
    <t>LY2N-12VDC, управление 12vDC, 2перекл. гр, 10А на гр, светодиод, клеммы, потребление 0.9W</t>
  </si>
  <si>
    <t>JQX-62F-1Z-12VDC-120A, управление 12vDC, 1 перекл. гр, 120А на гр, потребление 2.0W, крепление болты</t>
  </si>
  <si>
    <t>LY2NB-12VDC, управление 12vDC, 2перекл. гр, 10А на гр, светодиод, ручной тест, клеммы, потребление 0.9W</t>
  </si>
  <si>
    <t>MS200F-1Z-12VDC-200A, управление 12vDC, 1 перекл. гр, 200А на гр, потребление 2.0W, крепление болты, открытое (без крышки)</t>
  </si>
  <si>
    <t>NT90TP-NCE-DC12V-SB-0.9, управление 12vDC, 1перекл. гр, 40А на гр, температура до 130C°, потребление 0.9W</t>
  </si>
  <si>
    <t>CS-3770, для реле 40.37хх, 401.37хх, 75.37хх, 896, 90.37xx, AS40x, AZ973, BC-503, CB1, G8JN, GRL, HLS-CMA3, JD1949, NRA-04, NVF4, SARx, TR93, TRV4, WJ204, YL31x, 1 перекл. гр, провода</t>
  </si>
  <si>
    <t>CS-3770B, для реле 40.37хх, 401.37хх, 75.37хх, 896, 90.37xx, AS40x, AZ973, BC-503, CB1, G8JN, GRL, HLS-CMA3, JD1949, NRA-04, NVF4, SARx, TR93, TRV4, WJ204, YL31x, 1 перекл. гр, провода</t>
  </si>
  <si>
    <t>CS-3770M, для реле 40.37хх, 401.37хх, 75.37хх, 896, 90.37xx, AS40x, AZ973, BC-503, CB1, G8JN, GRL, HLS-CMA3, JD1949, NRA-04, NVF4, SARx, TR93, TRV4, WJ204, YL31x, 1 перекл. гр, без клемм, без проводов</t>
  </si>
  <si>
    <t>Описание</t>
  </si>
  <si>
    <t/>
  </si>
  <si>
    <t>Цена</t>
  </si>
  <si>
    <t>Мин. 
упак.</t>
  </si>
  <si>
    <t>922-12VDC-SL-C-H, управление 12vDC, 1перекл. гр, 17А на гр, потребление 0.36W</t>
  </si>
  <si>
    <t>CE-12VDC-A-25, управление 12vDC, 1вкл. гр, 25А на гр, потребление 0.9W</t>
  </si>
  <si>
    <t>G6B-12VDC-A-20, управление 12vDC, 1вкл. гр, 5А на гр, потребление 0.2W</t>
  </si>
  <si>
    <t>G6B-24VDC-A-20, управление 24vDC, 1вкл. гр, 5А на гр, потребление 0.2W</t>
  </si>
  <si>
    <t>3-5 нед.</t>
  </si>
  <si>
    <t>JZX-18FH-4Z-240VAC-L, управление 240vAC, 4перекл. гр, 5А на гр, светодиод, ручной тест, потребление 1.2VA</t>
  </si>
  <si>
    <t>JZX-18FH-4Z-24VAC-L, управление 24vAC, 4перекл. гр, 5А на гр, светодиод, ручной тест, потребление 1.2VA</t>
  </si>
  <si>
    <t>JZX-18FH-4Z-24VDC-L, управление 24vDC, 4перекл. гр, 5А на гр, светодиод, ручной тест, потребление 0.9W</t>
  </si>
  <si>
    <t>NB903-12S-S-C, управление 12vDC, 1перекл. гр, 40А на гр, температура до 85С°, потребление 0.9W</t>
  </si>
  <si>
    <t>NB903-24S-S-C, управление 24vDC, 1перекл. гр, 40А на гр, температура до 85С°, потребление 0.9W</t>
  </si>
  <si>
    <t>NB903-AC220S-S-C, управление 220vAC, 1перекл. гр, 40А на гр, температура до 85С°, потребление 2VA</t>
  </si>
  <si>
    <t>NB903-AC220S-S-C-i, управление 220vAC, 1перекл. гр, 40А на гр, температура до 85С°, потребление 2VA, марк. Краской</t>
  </si>
  <si>
    <t>NB903-AC220S-S-C-L, управление 220vAC, 1перекл. гр, 40А на гр, открытые контакты, температура до 85С°, потребление 2VA</t>
  </si>
  <si>
    <t>NB903-AC220S-S-C-T, управление 220vAC, 1перекл. гр, 40А на гр, температура до 105С°, потребление 2VA</t>
  </si>
  <si>
    <t>NB903E-12S-S-C, управление 12vDC, 1перекл. гр, 30А на гр, температура до 85С°, потребление 0.9W</t>
  </si>
  <si>
    <t>NB903E-24S-S-C, управление 24vDC, 1перекл. гр, 30А на гр, температура до 85С°, потребление 0.9W</t>
  </si>
  <si>
    <t>NB903E-AC220S-S-C, управление 220vAC, 1перекл. гр, 30А на гр, температура до 85С°, потребление 2VA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</si>
</sst>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d/m/yyyy;@"/>
    <numFmt numFmtId="174" formatCode="#,##0&quot;р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&quot;р.&quot;"/>
    <numFmt numFmtId="181" formatCode="[$$-409]#,##0.000"/>
    <numFmt numFmtId="182" formatCode="0.000"/>
    <numFmt numFmtId="183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sz val="7"/>
      <color indexed="8"/>
      <name val="Calibri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sz val="7"/>
      <color theme="1"/>
      <name val="Calibri"/>
      <family val="2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 vertical="center"/>
    </xf>
    <xf numFmtId="1" fontId="49" fillId="33" borderId="12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" fontId="39" fillId="33" borderId="13" xfId="0" applyNumberFormat="1" applyFont="1" applyFill="1" applyBorder="1" applyAlignment="1">
      <alignment horizontal="center" vertical="center"/>
    </xf>
    <xf numFmtId="1" fontId="49" fillId="33" borderId="14" xfId="0" applyNumberFormat="1" applyFont="1" applyFill="1" applyBorder="1" applyAlignment="1">
      <alignment horizontal="center" vertical="center"/>
    </xf>
    <xf numFmtId="1" fontId="50" fillId="0" borderId="15" xfId="0" applyNumberFormat="1" applyFont="1" applyBorder="1" applyAlignment="1">
      <alignment horizontal="center" vertical="center" wrapText="1"/>
    </xf>
    <xf numFmtId="1" fontId="51" fillId="0" borderId="16" xfId="0" applyNumberFormat="1" applyFont="1" applyBorder="1" applyAlignment="1">
      <alignment horizontal="center" vertical="center" wrapText="1"/>
    </xf>
    <xf numFmtId="1" fontId="49" fillId="33" borderId="17" xfId="0" applyNumberFormat="1" applyFont="1" applyFill="1" applyBorder="1" applyAlignment="1">
      <alignment horizontal="center" vertical="center"/>
    </xf>
    <xf numFmtId="172" fontId="39" fillId="33" borderId="17" xfId="0" applyNumberFormat="1" applyFont="1" applyFill="1" applyBorder="1" applyAlignment="1">
      <alignment horizontal="center" vertical="center"/>
    </xf>
    <xf numFmtId="1" fontId="39" fillId="33" borderId="18" xfId="0" applyNumberFormat="1" applyFont="1" applyFill="1" applyBorder="1" applyAlignment="1">
      <alignment horizontal="center" vertical="center"/>
    </xf>
    <xf numFmtId="1" fontId="49" fillId="33" borderId="19" xfId="0" applyNumberFormat="1" applyFont="1" applyFill="1" applyBorder="1" applyAlignment="1">
      <alignment horizontal="center" vertical="center"/>
    </xf>
    <xf numFmtId="1" fontId="51" fillId="0" borderId="20" xfId="0" applyNumberFormat="1" applyFont="1" applyBorder="1" applyAlignment="1">
      <alignment horizontal="center" vertical="center" wrapText="1"/>
    </xf>
    <xf numFmtId="1" fontId="49" fillId="33" borderId="21" xfId="0" applyNumberFormat="1" applyFont="1" applyFill="1" applyBorder="1" applyAlignment="1">
      <alignment horizontal="center" vertical="center"/>
    </xf>
    <xf numFmtId="1" fontId="49" fillId="33" borderId="22" xfId="0" applyNumberFormat="1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0" fillId="33" borderId="24" xfId="0" applyFont="1" applyFill="1" applyBorder="1" applyAlignment="1">
      <alignment horizontal="left" vertical="center"/>
    </xf>
    <xf numFmtId="0" fontId="50" fillId="33" borderId="25" xfId="0" applyFont="1" applyFill="1" applyBorder="1" applyAlignment="1">
      <alignment horizontal="left" vertical="center"/>
    </xf>
    <xf numFmtId="1" fontId="39" fillId="33" borderId="12" xfId="0" applyNumberFormat="1" applyFont="1" applyFill="1" applyBorder="1" applyAlignment="1">
      <alignment horizontal="center" vertical="center"/>
    </xf>
    <xf numFmtId="1" fontId="39" fillId="33" borderId="17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9" fillId="0" borderId="26" xfId="0" applyFont="1" applyBorder="1" applyAlignment="1">
      <alignment vertical="center"/>
    </xf>
    <xf numFmtId="1" fontId="51" fillId="0" borderId="27" xfId="0" applyNumberFormat="1" applyFont="1" applyBorder="1" applyAlignment="1">
      <alignment horizontal="center" vertical="center" wrapText="1"/>
    </xf>
    <xf numFmtId="1" fontId="35" fillId="0" borderId="0" xfId="42" applyNumberFormat="1" applyFont="1" applyAlignment="1" applyProtection="1">
      <alignment horizontal="left" vertical="center"/>
      <protection/>
    </xf>
    <xf numFmtId="1" fontId="35" fillId="0" borderId="26" xfId="42" applyNumberFormat="1" applyFont="1" applyBorder="1" applyAlignment="1" applyProtection="1">
      <alignment horizontal="left" vertical="center"/>
      <protection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53" fillId="0" borderId="15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35" fillId="0" borderId="0" xfId="42" applyAlignment="1" applyProtection="1">
      <alignment horizontal="left" vertical="center"/>
      <protection/>
    </xf>
    <xf numFmtId="0" fontId="35" fillId="0" borderId="26" xfId="42" applyBorder="1" applyAlignment="1" applyProtection="1">
      <alignment horizontal="left" vertical="center"/>
      <protection/>
    </xf>
    <xf numFmtId="1" fontId="51" fillId="0" borderId="15" xfId="0" applyNumberFormat="1" applyFont="1" applyBorder="1" applyAlignment="1">
      <alignment horizontal="center" textRotation="90"/>
    </xf>
    <xf numFmtId="1" fontId="49" fillId="0" borderId="15" xfId="0" applyNumberFormat="1" applyFont="1" applyBorder="1" applyAlignment="1">
      <alignment horizontal="center" vertical="center" textRotation="90" wrapText="1"/>
    </xf>
    <xf numFmtId="173" fontId="54" fillId="0" borderId="0" xfId="0" applyNumberFormat="1" applyFont="1" applyBorder="1" applyAlignment="1">
      <alignment horizontal="right" vertical="center"/>
    </xf>
    <xf numFmtId="0" fontId="0" fillId="0" borderId="0" xfId="0" applyFont="1" applyAlignment="1" quotePrefix="1">
      <alignment horizontal="left" vertical="center"/>
    </xf>
    <xf numFmtId="1" fontId="55" fillId="0" borderId="20" xfId="0" applyNumberFormat="1" applyFont="1" applyBorder="1" applyAlignment="1">
      <alignment horizontal="center" vertical="center" textRotation="90" wrapText="1"/>
    </xf>
    <xf numFmtId="0" fontId="35" fillId="0" borderId="0" xfId="42" applyBorder="1" applyAlignment="1" applyProtection="1">
      <alignment horizontal="center" vertical="center"/>
      <protection/>
    </xf>
    <xf numFmtId="0" fontId="35" fillId="0" borderId="12" xfId="42" applyFill="1" applyBorder="1" applyAlignment="1" applyProtection="1">
      <alignment/>
      <protection/>
    </xf>
    <xf numFmtId="0" fontId="35" fillId="0" borderId="17" xfId="42" applyFill="1" applyBorder="1" applyAlignment="1" applyProtection="1">
      <alignment/>
      <protection/>
    </xf>
    <xf numFmtId="0" fontId="35" fillId="0" borderId="28" xfId="42" applyFill="1" applyBorder="1" applyAlignment="1" applyProtection="1">
      <alignment/>
      <protection/>
    </xf>
    <xf numFmtId="0" fontId="56" fillId="0" borderId="0" xfId="0" applyFont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14" fontId="58" fillId="0" borderId="0" xfId="0" applyNumberFormat="1" applyFont="1" applyAlignment="1">
      <alignment horizontal="left" vertical="center"/>
    </xf>
    <xf numFmtId="0" fontId="58" fillId="0" borderId="0" xfId="0" applyFont="1" applyAlignment="1">
      <alignment horizontal="left" vertical="center"/>
    </xf>
  </cellXfs>
  <cellStyles count="1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3" xfId="77"/>
    <cellStyle name="Обычный 14" xfId="78"/>
    <cellStyle name="Обычный 15" xfId="79"/>
    <cellStyle name="Обычный 16" xfId="80"/>
    <cellStyle name="Обычный 17" xfId="81"/>
    <cellStyle name="Обычный 18" xfId="82"/>
    <cellStyle name="Обычный 19" xfId="83"/>
    <cellStyle name="Обычный 2" xfId="84"/>
    <cellStyle name="Обычный 20" xfId="85"/>
    <cellStyle name="Обычный 21" xfId="86"/>
    <cellStyle name="Обычный 22" xfId="87"/>
    <cellStyle name="Обычный 23" xfId="88"/>
    <cellStyle name="Обычный 24" xfId="89"/>
    <cellStyle name="Обычный 25" xfId="90"/>
    <cellStyle name="Обычный 26" xfId="91"/>
    <cellStyle name="Обычный 27" xfId="92"/>
    <cellStyle name="Обычный 28" xfId="93"/>
    <cellStyle name="Обычный 29" xfId="94"/>
    <cellStyle name="Обычный 3" xfId="95"/>
    <cellStyle name="Обычный 30" xfId="96"/>
    <cellStyle name="Обычный 31" xfId="97"/>
    <cellStyle name="Обычный 32" xfId="98"/>
    <cellStyle name="Обычный 33" xfId="99"/>
    <cellStyle name="Обычный 34" xfId="100"/>
    <cellStyle name="Обычный 35" xfId="101"/>
    <cellStyle name="Обычный 36" xfId="102"/>
    <cellStyle name="Обычный 37" xfId="103"/>
    <cellStyle name="Обычный 38" xfId="104"/>
    <cellStyle name="Обычный 39" xfId="105"/>
    <cellStyle name="Обычный 4" xfId="106"/>
    <cellStyle name="Обычный 40" xfId="107"/>
    <cellStyle name="Обычный 41" xfId="108"/>
    <cellStyle name="Обычный 42" xfId="109"/>
    <cellStyle name="Обычный 43" xfId="110"/>
    <cellStyle name="Обычный 44" xfId="111"/>
    <cellStyle name="Обычный 45" xfId="112"/>
    <cellStyle name="Обычный 46" xfId="113"/>
    <cellStyle name="Обычный 47" xfId="114"/>
    <cellStyle name="Обычный 48" xfId="115"/>
    <cellStyle name="Обычный 49" xfId="116"/>
    <cellStyle name="Обычный 5" xfId="117"/>
    <cellStyle name="Обычный 50" xfId="118"/>
    <cellStyle name="Обычный 51" xfId="119"/>
    <cellStyle name="Обычный 52" xfId="120"/>
    <cellStyle name="Обычный 53" xfId="121"/>
    <cellStyle name="Обычный 54" xfId="122"/>
    <cellStyle name="Обычный 55" xfId="123"/>
    <cellStyle name="Обычный 56" xfId="124"/>
    <cellStyle name="Обычный 57" xfId="125"/>
    <cellStyle name="Обычный 58" xfId="126"/>
    <cellStyle name="Обычный 59" xfId="127"/>
    <cellStyle name="Обычный 6" xfId="128"/>
    <cellStyle name="Обычный 60" xfId="129"/>
    <cellStyle name="Обычный 61" xfId="130"/>
    <cellStyle name="Обычный 62" xfId="131"/>
    <cellStyle name="Обычный 63" xfId="132"/>
    <cellStyle name="Обычный 64" xfId="133"/>
    <cellStyle name="Обычный 65" xfId="134"/>
    <cellStyle name="Обычный 66" xfId="135"/>
    <cellStyle name="Обычный 67" xfId="136"/>
    <cellStyle name="Обычный 68" xfId="137"/>
    <cellStyle name="Обычный 69" xfId="138"/>
    <cellStyle name="Обычный 7" xfId="139"/>
    <cellStyle name="Обычный 70" xfId="140"/>
    <cellStyle name="Обычный 71" xfId="141"/>
    <cellStyle name="Обычный 72" xfId="142"/>
    <cellStyle name="Обычный 73" xfId="143"/>
    <cellStyle name="Обычный 74" xfId="144"/>
    <cellStyle name="Обычный 75" xfId="145"/>
    <cellStyle name="Обычный 76" xfId="146"/>
    <cellStyle name="Обычный 77" xfId="147"/>
    <cellStyle name="Обычный 78" xfId="148"/>
    <cellStyle name="Обычный 79" xfId="149"/>
    <cellStyle name="Обычный 8" xfId="150"/>
    <cellStyle name="Обычный 80" xfId="151"/>
    <cellStyle name="Обычный 81" xfId="152"/>
    <cellStyle name="Обычный 82" xfId="153"/>
    <cellStyle name="Обычный 83" xfId="154"/>
    <cellStyle name="Обычный 84" xfId="155"/>
    <cellStyle name="Обычный 85" xfId="156"/>
    <cellStyle name="Обычный 86" xfId="157"/>
    <cellStyle name="Обычный 87" xfId="158"/>
    <cellStyle name="Обычный 88" xfId="159"/>
    <cellStyle name="Обычный 89" xfId="160"/>
    <cellStyle name="Обычный 9" xfId="161"/>
    <cellStyle name="Обычный 90" xfId="162"/>
    <cellStyle name="Обычный 91" xfId="163"/>
    <cellStyle name="Обычный 92" xfId="164"/>
    <cellStyle name="Обычный 93" xfId="165"/>
    <cellStyle name="Обычный 94" xfId="166"/>
    <cellStyle name="Обычный 95" xfId="167"/>
    <cellStyle name="Обычный 96" xfId="168"/>
    <cellStyle name="Обычный 97" xfId="169"/>
    <cellStyle name="Обычный 98" xfId="170"/>
    <cellStyle name="Обычный 99" xfId="171"/>
    <cellStyle name="Followed Hyperlink" xfId="172"/>
    <cellStyle name="Плохой" xfId="173"/>
    <cellStyle name="Пояснение" xfId="174"/>
    <cellStyle name="Примечание" xfId="175"/>
    <cellStyle name="Percent" xfId="176"/>
    <cellStyle name="Связанная ячейка" xfId="177"/>
    <cellStyle name="Текст предупреждения" xfId="178"/>
    <cellStyle name="Comma" xfId="179"/>
    <cellStyle name="Comma [0]" xfId="180"/>
    <cellStyle name="Хороший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rele.ru/" TargetMode="External" /><Relationship Id="rId2" Type="http://schemas.openxmlformats.org/officeDocument/2006/relationships/hyperlink" Target="mailto:pavel@orele.ru" TargetMode="External" /><Relationship Id="rId3" Type="http://schemas.openxmlformats.org/officeDocument/2006/relationships/hyperlink" Target="mailto:anna@orele.r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5"/>
  <sheetViews>
    <sheetView tabSelected="1" zoomScalePageLayoutView="0" workbookViewId="0" topLeftCell="A1">
      <selection activeCell="H3" sqref="H3:J3"/>
    </sheetView>
  </sheetViews>
  <sheetFormatPr defaultColWidth="9.140625" defaultRowHeight="15"/>
  <cols>
    <col min="1" max="1" width="0.42578125" style="0" customWidth="1"/>
    <col min="2" max="2" width="2.8515625" style="0" customWidth="1"/>
    <col min="3" max="3" width="7.57421875" style="0" customWidth="1"/>
    <col min="4" max="4" width="44.140625" style="0" customWidth="1"/>
    <col min="5" max="5" width="9.421875" style="0" customWidth="1"/>
    <col min="6" max="6" width="5.140625" style="30" customWidth="1"/>
    <col min="7" max="7" width="7.421875" style="0" customWidth="1"/>
    <col min="8" max="8" width="4.140625" style="0" customWidth="1"/>
    <col min="9" max="9" width="3.8515625" style="0" customWidth="1"/>
    <col min="10" max="10" width="6.8515625" style="0" customWidth="1"/>
    <col min="11" max="20" width="0.9921875" style="0" customWidth="1"/>
    <col min="21" max="21" width="2.8515625" style="0" customWidth="1"/>
  </cols>
  <sheetData>
    <row r="1" spans="3:10" ht="15.75" customHeight="1">
      <c r="C1" s="44" t="s">
        <v>0</v>
      </c>
      <c r="D1" s="44"/>
      <c r="E1" s="33" t="s">
        <v>127</v>
      </c>
      <c r="F1" s="27"/>
      <c r="G1" s="38" t="s">
        <v>295</v>
      </c>
      <c r="H1" s="23"/>
      <c r="I1" s="24"/>
      <c r="J1" s="24" t="s">
        <v>1</v>
      </c>
    </row>
    <row r="2" spans="3:10" ht="15.75" customHeight="1">
      <c r="C2" s="44"/>
      <c r="D2" s="44"/>
      <c r="E2" s="33" t="s">
        <v>128</v>
      </c>
      <c r="F2" s="27"/>
      <c r="G2" s="38" t="s">
        <v>296</v>
      </c>
      <c r="H2" s="4"/>
      <c r="I2" s="24"/>
      <c r="J2" s="24" t="s">
        <v>2</v>
      </c>
    </row>
    <row r="3" spans="3:10" ht="15.75" customHeight="1">
      <c r="C3" s="44"/>
      <c r="D3" s="44"/>
      <c r="E3" s="32"/>
      <c r="F3" s="27"/>
      <c r="G3" s="37" t="s">
        <v>108</v>
      </c>
      <c r="H3" s="46">
        <v>45400</v>
      </c>
      <c r="I3" s="47"/>
      <c r="J3" s="47"/>
    </row>
    <row r="4" spans="1:10" ht="15.75" customHeight="1" thickBot="1">
      <c r="A4" s="1"/>
      <c r="B4" s="1"/>
      <c r="C4" s="45" t="s">
        <v>34</v>
      </c>
      <c r="D4" s="45"/>
      <c r="E4" s="34" t="s">
        <v>129</v>
      </c>
      <c r="F4" s="28"/>
      <c r="G4" s="25" t="s">
        <v>294</v>
      </c>
      <c r="H4" s="25"/>
      <c r="I4" s="25"/>
      <c r="J4" s="25"/>
    </row>
    <row r="5" spans="1:10" ht="14.25">
      <c r="A5" s="2"/>
      <c r="B5" s="2"/>
      <c r="C5" s="2"/>
      <c r="D5" s="3"/>
      <c r="E5" s="3"/>
      <c r="F5" s="29"/>
      <c r="G5" s="3"/>
      <c r="H5" s="3"/>
      <c r="I5" s="3"/>
      <c r="J5" s="3"/>
    </row>
    <row r="6" spans="1:10" ht="35.25" customHeight="1">
      <c r="A6" s="1"/>
      <c r="B6" s="39" t="s">
        <v>329</v>
      </c>
      <c r="C6" s="15" t="s">
        <v>7</v>
      </c>
      <c r="D6" s="18" t="s">
        <v>6</v>
      </c>
      <c r="E6" s="31" t="s">
        <v>331</v>
      </c>
      <c r="F6" s="26" t="s">
        <v>97</v>
      </c>
      <c r="G6" s="10" t="s">
        <v>8</v>
      </c>
      <c r="H6" s="35" t="s">
        <v>9</v>
      </c>
      <c r="I6" s="36" t="s">
        <v>332</v>
      </c>
      <c r="J6" s="9" t="s">
        <v>81</v>
      </c>
    </row>
    <row r="7" spans="2:10" ht="14.25">
      <c r="B7" s="43" t="str">
        <f>HYPERLINK("https://orele.ru/products/55773982","[...]")</f>
        <v>[...]</v>
      </c>
      <c r="C7" s="16" t="s">
        <v>13</v>
      </c>
      <c r="D7" s="19" t="s">
        <v>281</v>
      </c>
      <c r="E7" s="6">
        <v>34.86278524</v>
      </c>
      <c r="F7" s="16" t="s">
        <v>330</v>
      </c>
      <c r="G7" s="7" t="s">
        <v>118</v>
      </c>
      <c r="H7" s="8">
        <v>1000</v>
      </c>
      <c r="I7" s="5">
        <v>25</v>
      </c>
      <c r="J7" s="21"/>
    </row>
    <row r="8" spans="2:26" ht="14.25">
      <c r="B8" s="41" t="str">
        <f>HYPERLINK("https://orele.ru/products/54473873","[...]")</f>
        <v>[...]</v>
      </c>
      <c r="C8" s="16" t="s">
        <v>186</v>
      </c>
      <c r="D8" s="19" t="s">
        <v>187</v>
      </c>
      <c r="E8" s="6">
        <v>30.882048</v>
      </c>
      <c r="F8" s="16" t="s">
        <v>330</v>
      </c>
      <c r="G8" s="7" t="s">
        <v>118</v>
      </c>
      <c r="H8" s="8">
        <v>2000</v>
      </c>
      <c r="I8" s="5">
        <v>25</v>
      </c>
      <c r="J8" s="21"/>
      <c r="V8" s="1"/>
      <c r="W8" s="1"/>
      <c r="X8" s="1"/>
      <c r="Y8" s="1"/>
      <c r="Z8" s="1"/>
    </row>
    <row r="9" spans="2:26" ht="14.25">
      <c r="B9" s="41" t="str">
        <f>HYPERLINK("https://orele.ru/products/54473877","[...]")</f>
        <v>[...]</v>
      </c>
      <c r="C9" s="16" t="s">
        <v>186</v>
      </c>
      <c r="D9" s="19" t="s">
        <v>188</v>
      </c>
      <c r="E9" s="6">
        <v>30.492288</v>
      </c>
      <c r="F9" s="16" t="s">
        <v>330</v>
      </c>
      <c r="G9" s="7" t="s">
        <v>118</v>
      </c>
      <c r="H9" s="8">
        <v>1000</v>
      </c>
      <c r="I9" s="5">
        <v>25</v>
      </c>
      <c r="J9" s="21"/>
      <c r="V9" s="1"/>
      <c r="W9" s="1"/>
      <c r="X9" s="1"/>
      <c r="Y9" s="1"/>
      <c r="Z9" s="1"/>
    </row>
    <row r="10" spans="2:26" ht="14.25">
      <c r="B10" s="41" t="str">
        <f>HYPERLINK("https://orele.ru/products/58897245","[...]")</f>
        <v>[...]</v>
      </c>
      <c r="C10" s="16" t="s">
        <v>115</v>
      </c>
      <c r="D10" s="19" t="s">
        <v>333</v>
      </c>
      <c r="E10" s="6">
        <v>45.463680000000004</v>
      </c>
      <c r="F10" s="16" t="s">
        <v>118</v>
      </c>
      <c r="G10" s="7" t="s">
        <v>316</v>
      </c>
      <c r="H10" s="8">
        <v>1000</v>
      </c>
      <c r="I10" s="5">
        <v>20</v>
      </c>
      <c r="J10" s="21"/>
      <c r="V10" s="40"/>
      <c r="W10" s="1"/>
      <c r="X10" s="1"/>
      <c r="Y10" s="1"/>
      <c r="Z10" s="1"/>
    </row>
    <row r="11" spans="2:26" ht="14.25">
      <c r="B11" s="41" t="str">
        <f>HYPERLINK("https://orele.ru/products/ce-12vdc-a-25","[...]")</f>
        <v>[...]</v>
      </c>
      <c r="C11" s="16" t="s">
        <v>115</v>
      </c>
      <c r="D11" s="19" t="s">
        <v>334</v>
      </c>
      <c r="E11" s="6">
        <v>82.948032</v>
      </c>
      <c r="F11" s="16">
        <v>500</v>
      </c>
      <c r="G11" s="7" t="s">
        <v>316</v>
      </c>
      <c r="H11" s="8">
        <v>500</v>
      </c>
      <c r="I11" s="5">
        <v>10</v>
      </c>
      <c r="J11" s="21"/>
      <c r="V11" s="1"/>
      <c r="W11" s="1"/>
      <c r="X11" s="1"/>
      <c r="Y11" s="1"/>
      <c r="Z11" s="1"/>
    </row>
    <row r="12" spans="2:26" ht="14.25" thickBot="1">
      <c r="B12" s="42" t="str">
        <f>HYPERLINK("https://orele.ru/products/CM6311-1H-12VDC","[...]")</f>
        <v>[...]</v>
      </c>
      <c r="C12" s="17" t="s">
        <v>186</v>
      </c>
      <c r="D12" s="20" t="s">
        <v>234</v>
      </c>
      <c r="E12" s="12">
        <v>73.46976000000001</v>
      </c>
      <c r="F12" s="17" t="s">
        <v>330</v>
      </c>
      <c r="G12" s="13">
        <v>430</v>
      </c>
      <c r="H12" s="14">
        <v>1000</v>
      </c>
      <c r="I12" s="11">
        <v>10</v>
      </c>
      <c r="J12" s="22"/>
      <c r="V12" s="1"/>
      <c r="W12" s="1"/>
      <c r="X12" s="1"/>
      <c r="Y12" s="1"/>
      <c r="Z12" s="1"/>
    </row>
    <row r="13" spans="2:26" ht="14.25" thickTop="1">
      <c r="B13" s="43" t="str">
        <f>HYPERLINK("https://orele.ru/products/CM6311-1H-24VDC","[...]")</f>
        <v>[...]</v>
      </c>
      <c r="C13" s="16" t="s">
        <v>186</v>
      </c>
      <c r="D13" s="19" t="s">
        <v>235</v>
      </c>
      <c r="E13" s="6">
        <v>73.46976000000001</v>
      </c>
      <c r="F13" s="16" t="s">
        <v>330</v>
      </c>
      <c r="G13" s="7">
        <v>335</v>
      </c>
      <c r="H13" s="8">
        <v>1000</v>
      </c>
      <c r="I13" s="5">
        <v>10</v>
      </c>
      <c r="J13" s="21"/>
      <c r="V13" s="1"/>
      <c r="W13" s="1"/>
      <c r="X13" s="1"/>
      <c r="Y13" s="1"/>
      <c r="Z13" s="1"/>
    </row>
    <row r="14" spans="2:26" ht="14.25">
      <c r="B14" s="41" t="str">
        <f>HYPERLINK("https://orele.ru/products/CM6311-1Z-12VDC","[...]")</f>
        <v>[...]</v>
      </c>
      <c r="C14" s="16" t="s">
        <v>186</v>
      </c>
      <c r="D14" s="19" t="s">
        <v>308</v>
      </c>
      <c r="E14" s="6">
        <v>61.546687999999996</v>
      </c>
      <c r="F14" s="16" t="s">
        <v>330</v>
      </c>
      <c r="G14" s="7">
        <v>350</v>
      </c>
      <c r="H14" s="8">
        <v>1000</v>
      </c>
      <c r="I14" s="5">
        <v>10</v>
      </c>
      <c r="J14" s="21"/>
      <c r="V14" s="1"/>
      <c r="W14" s="1"/>
      <c r="X14" s="1"/>
      <c r="Y14" s="1"/>
      <c r="Z14" s="1"/>
    </row>
    <row r="15" spans="2:26" ht="14.25">
      <c r="B15" s="41" t="str">
        <f>HYPERLINK("https://orele.ru/products/CM6311-1Z-24VDC","[...]")</f>
        <v>[...]</v>
      </c>
      <c r="C15" s="16" t="s">
        <v>186</v>
      </c>
      <c r="D15" s="19" t="s">
        <v>309</v>
      </c>
      <c r="E15" s="6">
        <v>61.546687999999996</v>
      </c>
      <c r="F15" s="16" t="s">
        <v>330</v>
      </c>
      <c r="G15" s="7">
        <v>402</v>
      </c>
      <c r="H15" s="8">
        <v>1000</v>
      </c>
      <c r="I15" s="5">
        <v>10</v>
      </c>
      <c r="J15" s="21"/>
      <c r="V15" s="1"/>
      <c r="W15" s="1"/>
      <c r="X15" s="1"/>
      <c r="Y15" s="1"/>
      <c r="Z15" s="1"/>
    </row>
    <row r="16" spans="2:26" ht="14.25">
      <c r="B16" s="41" t="str">
        <f>HYPERLINK("https://orele.ru/products/CM6321-1H-12D","[...]")</f>
        <v>[...]</v>
      </c>
      <c r="C16" s="16" t="s">
        <v>186</v>
      </c>
      <c r="D16" s="19" t="s">
        <v>243</v>
      </c>
      <c r="E16" s="6">
        <v>76.28</v>
      </c>
      <c r="F16" s="16" t="s">
        <v>330</v>
      </c>
      <c r="G16" s="7">
        <v>500</v>
      </c>
      <c r="H16" s="8">
        <v>1000</v>
      </c>
      <c r="I16" s="5">
        <v>25</v>
      </c>
      <c r="J16" s="21"/>
      <c r="V16" s="1"/>
      <c r="W16" s="1"/>
      <c r="X16" s="1"/>
      <c r="Y16" s="1"/>
      <c r="Z16" s="1"/>
    </row>
    <row r="17" spans="2:26" ht="14.25">
      <c r="B17" s="41" t="str">
        <f>HYPERLINK("https://orele.ru/products/FRT5-L1-DC12V","[...]")</f>
        <v>[...]</v>
      </c>
      <c r="C17" s="16" t="s">
        <v>13</v>
      </c>
      <c r="D17" s="19" t="s">
        <v>83</v>
      </c>
      <c r="E17" s="6">
        <v>61.9807475136</v>
      </c>
      <c r="F17" s="16" t="s">
        <v>330</v>
      </c>
      <c r="G17" s="7">
        <v>560</v>
      </c>
      <c r="H17" s="8">
        <v>1000</v>
      </c>
      <c r="I17" s="5">
        <v>20</v>
      </c>
      <c r="J17" s="21"/>
      <c r="V17" s="1"/>
      <c r="W17" s="1"/>
      <c r="X17" s="1"/>
      <c r="Y17" s="1"/>
      <c r="Z17" s="1"/>
    </row>
    <row r="18" spans="2:26" ht="14.25" thickBot="1">
      <c r="B18" s="42" t="str">
        <f>HYPERLINK("https://orele.ru/products/FRT5-L1-DC24V","[...]")</f>
        <v>[...]</v>
      </c>
      <c r="C18" s="17" t="s">
        <v>13</v>
      </c>
      <c r="D18" s="20" t="s">
        <v>84</v>
      </c>
      <c r="E18" s="12">
        <v>102.78180864000001</v>
      </c>
      <c r="F18" s="17" t="s">
        <v>330</v>
      </c>
      <c r="G18" s="13">
        <v>740</v>
      </c>
      <c r="H18" s="14">
        <v>1000</v>
      </c>
      <c r="I18" s="11">
        <v>20</v>
      </c>
      <c r="J18" s="22"/>
      <c r="V18" s="1"/>
      <c r="W18" s="1"/>
      <c r="X18" s="1"/>
      <c r="Y18" s="1"/>
      <c r="Z18" s="1"/>
    </row>
    <row r="19" spans="2:26" ht="14.25" thickTop="1">
      <c r="B19" s="43" t="str">
        <f>HYPERLINK("https://orele.ru/products/g6b-12vdc-a-20","[...]")</f>
        <v>[...]</v>
      </c>
      <c r="C19" s="16" t="s">
        <v>115</v>
      </c>
      <c r="D19" s="19" t="s">
        <v>335</v>
      </c>
      <c r="E19" s="6">
        <v>35.32928000000001</v>
      </c>
      <c r="F19" s="16" t="s">
        <v>118</v>
      </c>
      <c r="G19" s="7" t="s">
        <v>316</v>
      </c>
      <c r="H19" s="8">
        <v>2000</v>
      </c>
      <c r="I19" s="5">
        <v>10</v>
      </c>
      <c r="J19" s="21"/>
      <c r="V19" s="1"/>
      <c r="W19" s="1"/>
      <c r="X19" s="1"/>
      <c r="Y19" s="1"/>
      <c r="Z19" s="1"/>
    </row>
    <row r="20" spans="2:26" ht="14.25">
      <c r="B20" s="41" t="str">
        <f>HYPERLINK("https://orele.ru/products/g6b-24vdc-a-20","[...]")</f>
        <v>[...]</v>
      </c>
      <c r="C20" s="16" t="s">
        <v>115</v>
      </c>
      <c r="D20" s="19" t="s">
        <v>336</v>
      </c>
      <c r="E20" s="6">
        <v>36.61568</v>
      </c>
      <c r="F20" s="16" t="s">
        <v>118</v>
      </c>
      <c r="G20" s="7" t="s">
        <v>316</v>
      </c>
      <c r="H20" s="8">
        <v>2000</v>
      </c>
      <c r="I20" s="5">
        <v>10</v>
      </c>
      <c r="J20" s="21"/>
      <c r="V20" s="1"/>
      <c r="W20" s="1"/>
      <c r="X20" s="1"/>
      <c r="Y20" s="1"/>
      <c r="Z20" s="1"/>
    </row>
    <row r="21" spans="2:26" ht="14.25">
      <c r="B21" s="41" t="str">
        <f>HYPERLINK("https://orele.ru/products/G7L-TUB-2A-240VAC","[...]")</f>
        <v>[...]</v>
      </c>
      <c r="C21" s="16" t="s">
        <v>186</v>
      </c>
      <c r="D21" s="19" t="s">
        <v>262</v>
      </c>
      <c r="E21" s="6">
        <v>311.84665600000005</v>
      </c>
      <c r="F21" s="16">
        <v>400</v>
      </c>
      <c r="G21" s="7" t="s">
        <v>316</v>
      </c>
      <c r="H21" s="8">
        <v>200</v>
      </c>
      <c r="I21" s="5">
        <v>10</v>
      </c>
      <c r="J21" s="21"/>
      <c r="V21" s="1"/>
      <c r="W21" s="1"/>
      <c r="X21" s="1"/>
      <c r="Y21" s="1"/>
      <c r="Z21" s="1"/>
    </row>
    <row r="22" spans="2:26" ht="14.25">
      <c r="B22" s="41" t="str">
        <f>HYPERLINK("https://orele.ru/products/hf152f-012-1hs","[...]")</f>
        <v>[...]</v>
      </c>
      <c r="C22" s="16" t="s">
        <v>68</v>
      </c>
      <c r="D22" s="19" t="s">
        <v>165</v>
      </c>
      <c r="E22" s="6">
        <v>83.16775935999998</v>
      </c>
      <c r="F22" s="16" t="s">
        <v>330</v>
      </c>
      <c r="G22" s="7">
        <v>910</v>
      </c>
      <c r="H22" s="8">
        <v>500</v>
      </c>
      <c r="I22" s="5">
        <v>20</v>
      </c>
      <c r="J22" s="21"/>
      <c r="V22" s="1"/>
      <c r="W22" s="1"/>
      <c r="X22" s="1"/>
      <c r="Y22" s="1"/>
      <c r="Z22" s="1"/>
    </row>
    <row r="23" spans="2:10" ht="14.25">
      <c r="B23" s="41" t="str">
        <f>HYPERLINK("https://orele.ru/products/HF152F-012-1ZS","[...]")</f>
        <v>[...]</v>
      </c>
      <c r="C23" s="16" t="s">
        <v>68</v>
      </c>
      <c r="D23" s="19" t="s">
        <v>116</v>
      </c>
      <c r="E23" s="6">
        <v>84.18013080768</v>
      </c>
      <c r="F23" s="16" t="s">
        <v>330</v>
      </c>
      <c r="G23" s="7" t="s">
        <v>118</v>
      </c>
      <c r="H23" s="8">
        <v>500</v>
      </c>
      <c r="I23" s="5">
        <v>20</v>
      </c>
      <c r="J23" s="21"/>
    </row>
    <row r="24" spans="2:10" ht="14.25" thickBot="1">
      <c r="B24" s="42" t="str">
        <f>HYPERLINK("https://orele.ru/products/HF152F-T-012-1ZPSTQ","[...]")</f>
        <v>[...]</v>
      </c>
      <c r="C24" s="17" t="s">
        <v>68</v>
      </c>
      <c r="D24" s="20" t="s">
        <v>312</v>
      </c>
      <c r="E24" s="12">
        <v>117.77811200000001</v>
      </c>
      <c r="F24" s="17" t="s">
        <v>330</v>
      </c>
      <c r="G24" s="13" t="s">
        <v>118</v>
      </c>
      <c r="H24" s="14">
        <v>500</v>
      </c>
      <c r="I24" s="11">
        <v>20</v>
      </c>
      <c r="J24" s="22"/>
    </row>
    <row r="25" spans="2:10" ht="14.25" thickTop="1">
      <c r="B25" s="43" t="str">
        <f>HYPERLINK("https://orele.ru/products/HF42F-024-2HST","[...]")</f>
        <v>[...]</v>
      </c>
      <c r="C25" s="16" t="s">
        <v>68</v>
      </c>
      <c r="D25" s="19" t="s">
        <v>120</v>
      </c>
      <c r="E25" s="6">
        <v>74.410048</v>
      </c>
      <c r="F25" s="16" t="s">
        <v>330</v>
      </c>
      <c r="G25" s="7" t="s">
        <v>118</v>
      </c>
      <c r="H25" s="8">
        <v>500</v>
      </c>
      <c r="I25" s="5">
        <v>20</v>
      </c>
      <c r="J25" s="21"/>
    </row>
    <row r="26" spans="2:10" ht="14.25">
      <c r="B26" s="41" t="str">
        <f>HYPERLINK("https://orele.ru/products/HF46F-12-HS1","[...]")</f>
        <v>[...]</v>
      </c>
      <c r="C26" s="16" t="s">
        <v>68</v>
      </c>
      <c r="D26" s="19" t="s">
        <v>122</v>
      </c>
      <c r="E26" s="6">
        <v>35.50115924</v>
      </c>
      <c r="F26" s="16" t="s">
        <v>330</v>
      </c>
      <c r="G26" s="7">
        <v>620</v>
      </c>
      <c r="H26" s="8">
        <v>1600</v>
      </c>
      <c r="I26" s="5">
        <v>10</v>
      </c>
      <c r="J26" s="21"/>
    </row>
    <row r="27" spans="2:10" ht="14.25">
      <c r="B27" s="41" t="str">
        <f>HYPERLINK("https://orele.ru/products/HF46F-24-HS1","[...]")</f>
        <v>[...]</v>
      </c>
      <c r="C27" s="16" t="s">
        <v>68</v>
      </c>
      <c r="D27" s="19" t="s">
        <v>123</v>
      </c>
      <c r="E27" s="6">
        <v>39.837347320000006</v>
      </c>
      <c r="F27" s="16" t="s">
        <v>330</v>
      </c>
      <c r="G27" s="7" t="s">
        <v>118</v>
      </c>
      <c r="H27" s="8">
        <v>1600</v>
      </c>
      <c r="I27" s="5">
        <v>10</v>
      </c>
      <c r="J27" s="21"/>
    </row>
    <row r="28" spans="2:10" ht="14.25">
      <c r="B28" s="41" t="str">
        <f>HYPERLINK("https://orele.ru/products/HF46F-5-HS1","[...]")</f>
        <v>[...]</v>
      </c>
      <c r="C28" s="16" t="s">
        <v>68</v>
      </c>
      <c r="D28" s="19" t="s">
        <v>121</v>
      </c>
      <c r="E28" s="6">
        <v>35.847970536000005</v>
      </c>
      <c r="F28" s="16" t="s">
        <v>330</v>
      </c>
      <c r="G28" s="7" t="s">
        <v>118</v>
      </c>
      <c r="H28" s="8">
        <v>1600</v>
      </c>
      <c r="I28" s="5">
        <v>10</v>
      </c>
      <c r="J28" s="21"/>
    </row>
    <row r="29" spans="2:10" ht="14.25">
      <c r="B29" s="41" t="str">
        <f>HYPERLINK("https://orele.ru/products/HF49FD-005-1H11","[...]")</f>
        <v>[...]</v>
      </c>
      <c r="C29" s="16" t="s">
        <v>68</v>
      </c>
      <c r="D29" s="19" t="s">
        <v>229</v>
      </c>
      <c r="E29" s="6">
        <v>65.59711999999999</v>
      </c>
      <c r="F29" s="16" t="s">
        <v>330</v>
      </c>
      <c r="G29" s="7" t="s">
        <v>118</v>
      </c>
      <c r="H29" s="8">
        <v>1000</v>
      </c>
      <c r="I29" s="5">
        <v>10</v>
      </c>
      <c r="J29" s="21"/>
    </row>
    <row r="30" spans="2:10" ht="14.25" thickBot="1">
      <c r="B30" s="42" t="str">
        <f>HYPERLINK("https://orele.ru/products/HF49FD-012-1H11","[...]")</f>
        <v>[...]</v>
      </c>
      <c r="C30" s="17" t="s">
        <v>68</v>
      </c>
      <c r="D30" s="20" t="s">
        <v>228</v>
      </c>
      <c r="E30" s="12">
        <v>65.715456</v>
      </c>
      <c r="F30" s="17" t="s">
        <v>330</v>
      </c>
      <c r="G30" s="13" t="s">
        <v>118</v>
      </c>
      <c r="H30" s="14">
        <v>1000</v>
      </c>
      <c r="I30" s="11">
        <v>10</v>
      </c>
      <c r="J30" s="22"/>
    </row>
    <row r="31" spans="2:10" ht="14.25" thickTop="1">
      <c r="B31" s="43" t="str">
        <f>HYPERLINK("https://orele.ru/products/HF49FD-024-1H11","[...]")</f>
        <v>[...]</v>
      </c>
      <c r="C31" s="16" t="s">
        <v>68</v>
      </c>
      <c r="D31" s="19" t="s">
        <v>230</v>
      </c>
      <c r="E31" s="6">
        <v>70.12864</v>
      </c>
      <c r="F31" s="16" t="s">
        <v>330</v>
      </c>
      <c r="G31" s="7" t="s">
        <v>118</v>
      </c>
      <c r="H31" s="8">
        <v>1000</v>
      </c>
      <c r="I31" s="5">
        <v>10</v>
      </c>
      <c r="J31" s="21"/>
    </row>
    <row r="32" spans="2:10" ht="14.25">
      <c r="B32" s="41" t="str">
        <f>HYPERLINK("https://orele.ru/products/HF7520-005-ZST","[...]")</f>
        <v>[...]</v>
      </c>
      <c r="C32" s="16" t="s">
        <v>68</v>
      </c>
      <c r="D32" s="19" t="s">
        <v>236</v>
      </c>
      <c r="E32" s="6">
        <v>72.85561600000001</v>
      </c>
      <c r="F32" s="16" t="s">
        <v>330</v>
      </c>
      <c r="G32" s="7">
        <v>990</v>
      </c>
      <c r="H32" s="8">
        <v>500</v>
      </c>
      <c r="I32" s="5">
        <v>20</v>
      </c>
      <c r="J32" s="21"/>
    </row>
    <row r="33" spans="2:10" ht="14.25">
      <c r="B33" s="41" t="str">
        <f>HYPERLINK("https://orele.ru/products/HF7520-012-ZST","[...]")</f>
        <v>[...]</v>
      </c>
      <c r="C33" s="16" t="s">
        <v>68</v>
      </c>
      <c r="D33" s="19" t="s">
        <v>237</v>
      </c>
      <c r="E33" s="6">
        <v>72.85561600000001</v>
      </c>
      <c r="F33" s="16" t="s">
        <v>330</v>
      </c>
      <c r="G33" s="7" t="s">
        <v>118</v>
      </c>
      <c r="H33" s="8">
        <v>500</v>
      </c>
      <c r="I33" s="5">
        <v>20</v>
      </c>
      <c r="J33" s="21"/>
    </row>
    <row r="34" spans="2:10" ht="14.25">
      <c r="B34" s="41" t="str">
        <f>HYPERLINK("https://orele.ru/products/HF7520-024-ZST","[...]")</f>
        <v>[...]</v>
      </c>
      <c r="C34" s="16" t="s">
        <v>68</v>
      </c>
      <c r="D34" s="19" t="s">
        <v>238</v>
      </c>
      <c r="E34" s="6">
        <v>75.718848</v>
      </c>
      <c r="F34" s="16" t="s">
        <v>330</v>
      </c>
      <c r="G34" s="7">
        <v>250</v>
      </c>
      <c r="H34" s="8">
        <v>500</v>
      </c>
      <c r="I34" s="5">
        <v>20</v>
      </c>
      <c r="J34" s="21"/>
    </row>
    <row r="35" spans="2:10" ht="14.25">
      <c r="B35" s="41" t="str">
        <f>HYPERLINK("https://orele.ru/products/HFD4-12","[...]")</f>
        <v>[...]</v>
      </c>
      <c r="C35" s="16" t="s">
        <v>68</v>
      </c>
      <c r="D35" s="19" t="s">
        <v>117</v>
      </c>
      <c r="E35" s="6">
        <v>76.64128</v>
      </c>
      <c r="F35" s="16" t="s">
        <v>330</v>
      </c>
      <c r="G35" s="7" t="s">
        <v>118</v>
      </c>
      <c r="H35" s="8">
        <v>2000</v>
      </c>
      <c r="I35" s="5">
        <v>10</v>
      </c>
      <c r="J35" s="21"/>
    </row>
    <row r="36" spans="2:10" ht="14.25" thickBot="1">
      <c r="B36" s="42" t="str">
        <f>HYPERLINK("https://orele.ru/products/HFD4-12-L","[...]")</f>
        <v>[...]</v>
      </c>
      <c r="C36" s="17" t="s">
        <v>68</v>
      </c>
      <c r="D36" s="20" t="s">
        <v>69</v>
      </c>
      <c r="E36" s="12">
        <v>71.60832</v>
      </c>
      <c r="F36" s="17" t="s">
        <v>330</v>
      </c>
      <c r="G36" s="13">
        <v>40</v>
      </c>
      <c r="H36" s="14">
        <v>2000</v>
      </c>
      <c r="I36" s="11">
        <v>10</v>
      </c>
      <c r="J36" s="22"/>
    </row>
    <row r="37" spans="2:10" ht="14.25" thickTop="1">
      <c r="B37" s="43" t="str">
        <f>HYPERLINK("https://orele.ru/products/HFD4-12-SR","[...]")</f>
        <v>[...]</v>
      </c>
      <c r="C37" s="16" t="s">
        <v>68</v>
      </c>
      <c r="D37" s="19" t="s">
        <v>239</v>
      </c>
      <c r="E37" s="6">
        <v>77.400576</v>
      </c>
      <c r="F37" s="16" t="s">
        <v>330</v>
      </c>
      <c r="G37" s="7" t="s">
        <v>118</v>
      </c>
      <c r="H37" s="8">
        <v>1800</v>
      </c>
      <c r="I37" s="5">
        <v>900</v>
      </c>
      <c r="J37" s="21"/>
    </row>
    <row r="38" spans="2:10" ht="14.25">
      <c r="B38" s="41" t="str">
        <f>HYPERLINK("https://orele.ru/products/HFD4-3-SR","[...]")</f>
        <v>[...]</v>
      </c>
      <c r="C38" s="16" t="s">
        <v>68</v>
      </c>
      <c r="D38" s="19" t="s">
        <v>240</v>
      </c>
      <c r="E38" s="6">
        <v>78.050496</v>
      </c>
      <c r="F38" s="16" t="s">
        <v>330</v>
      </c>
      <c r="G38" s="7" t="s">
        <v>118</v>
      </c>
      <c r="H38" s="8">
        <v>1800</v>
      </c>
      <c r="I38" s="5">
        <v>900</v>
      </c>
      <c r="J38" s="21"/>
    </row>
    <row r="39" spans="2:10" ht="14.25">
      <c r="B39" s="41" t="str">
        <f>HYPERLINK("https://orele.ru/products/HFD4-5","[...]")</f>
        <v>[...]</v>
      </c>
      <c r="C39" s="16" t="s">
        <v>68</v>
      </c>
      <c r="D39" s="19" t="s">
        <v>166</v>
      </c>
      <c r="E39" s="6">
        <v>72.29673963264001</v>
      </c>
      <c r="F39" s="16" t="s">
        <v>330</v>
      </c>
      <c r="G39" s="7" t="s">
        <v>118</v>
      </c>
      <c r="H39" s="8">
        <v>2000</v>
      </c>
      <c r="I39" s="5">
        <v>10</v>
      </c>
      <c r="J39" s="21"/>
    </row>
    <row r="40" spans="2:10" ht="14.25">
      <c r="B40" s="41" t="str">
        <f>HYPERLINK("https://orele.ru/products/HFV11-12-HSR","[...]")</f>
        <v>[...]</v>
      </c>
      <c r="C40" s="16" t="s">
        <v>68</v>
      </c>
      <c r="D40" s="19" t="s">
        <v>119</v>
      </c>
      <c r="E40" s="6">
        <v>90.69850137600001</v>
      </c>
      <c r="F40" s="16" t="s">
        <v>330</v>
      </c>
      <c r="G40" s="7">
        <v>1</v>
      </c>
      <c r="H40" s="8">
        <v>960</v>
      </c>
      <c r="I40" s="5">
        <v>10</v>
      </c>
      <c r="J40" s="21"/>
    </row>
    <row r="41" spans="2:10" ht="14.25">
      <c r="B41" s="41" t="str">
        <f>HYPERLINK("https://orele.ru/products/HJQ-15F-1-24VDC-S-Z","[...]")</f>
        <v>[...]</v>
      </c>
      <c r="C41" s="16" t="s">
        <v>4</v>
      </c>
      <c r="D41" s="19" t="s">
        <v>141</v>
      </c>
      <c r="E41" s="6">
        <v>87.683887780736</v>
      </c>
      <c r="F41" s="16" t="s">
        <v>330</v>
      </c>
      <c r="G41" s="7">
        <v>34</v>
      </c>
      <c r="H41" s="8">
        <v>600</v>
      </c>
      <c r="I41" s="5">
        <v>15</v>
      </c>
      <c r="J41" s="21"/>
    </row>
    <row r="42" spans="2:10" ht="14.25" thickBot="1">
      <c r="B42" s="42" t="str">
        <f>HYPERLINK("https://orele.ru/products/HJR1-2C-L-05VDC","[...]")</f>
        <v>[...]</v>
      </c>
      <c r="C42" s="17" t="s">
        <v>4</v>
      </c>
      <c r="D42" s="20" t="s">
        <v>85</v>
      </c>
      <c r="E42" s="12">
        <v>38.833792</v>
      </c>
      <c r="F42" s="17" t="s">
        <v>330</v>
      </c>
      <c r="G42" s="13" t="s">
        <v>118</v>
      </c>
      <c r="H42" s="14">
        <v>1000</v>
      </c>
      <c r="I42" s="11">
        <v>20</v>
      </c>
      <c r="J42" s="22"/>
    </row>
    <row r="43" spans="2:10" ht="14.25" thickTop="1">
      <c r="B43" s="43" t="str">
        <f>HYPERLINK("https://orele.ru/products/HJR1-2C-L-12VDC","[...]")</f>
        <v>[...]</v>
      </c>
      <c r="C43" s="16" t="s">
        <v>4</v>
      </c>
      <c r="D43" s="19" t="s">
        <v>45</v>
      </c>
      <c r="E43" s="6">
        <v>34.67742386687976</v>
      </c>
      <c r="F43" s="16" t="s">
        <v>330</v>
      </c>
      <c r="G43" s="7" t="s">
        <v>118</v>
      </c>
      <c r="H43" s="8">
        <v>1000</v>
      </c>
      <c r="I43" s="5">
        <v>20</v>
      </c>
      <c r="J43" s="21"/>
    </row>
    <row r="44" spans="2:10" ht="14.25">
      <c r="B44" s="41" t="str">
        <f>HYPERLINK("https://orele.ru/products/HJR1-2C-L-24VDC","[...]")</f>
        <v>[...]</v>
      </c>
      <c r="C44" s="16" t="s">
        <v>4</v>
      </c>
      <c r="D44" s="19" t="s">
        <v>46</v>
      </c>
      <c r="E44" s="6">
        <v>39.216335519999994</v>
      </c>
      <c r="F44" s="16" t="s">
        <v>330</v>
      </c>
      <c r="G44" s="7" t="s">
        <v>118</v>
      </c>
      <c r="H44" s="8">
        <v>1000</v>
      </c>
      <c r="I44" s="5">
        <v>20</v>
      </c>
      <c r="J44" s="21"/>
    </row>
    <row r="45" spans="2:10" ht="14.25">
      <c r="B45" s="41" t="str">
        <f>HYPERLINK("https://orele.ru/products/HJR-3FF-05VDC-S-Z","[...]")</f>
        <v>[...]</v>
      </c>
      <c r="C45" s="16" t="s">
        <v>4</v>
      </c>
      <c r="D45" s="19" t="s">
        <v>86</v>
      </c>
      <c r="E45" s="6">
        <v>27.45467939168</v>
      </c>
      <c r="F45" s="16" t="s">
        <v>330</v>
      </c>
      <c r="G45" s="7" t="s">
        <v>118</v>
      </c>
      <c r="H45" s="8">
        <v>500</v>
      </c>
      <c r="I45" s="5">
        <v>20</v>
      </c>
      <c r="J45" s="21"/>
    </row>
    <row r="46" spans="2:10" ht="14.25">
      <c r="B46" s="41" t="str">
        <f>HYPERLINK("https://orele.ru/products/HJR-3FF-18VDC-S-Z","[...]")</f>
        <v>[...]</v>
      </c>
      <c r="C46" s="16" t="s">
        <v>4</v>
      </c>
      <c r="D46" s="19" t="s">
        <v>114</v>
      </c>
      <c r="E46" s="6">
        <v>38.871515648000006</v>
      </c>
      <c r="F46" s="16" t="s">
        <v>330</v>
      </c>
      <c r="G46" s="7">
        <v>10</v>
      </c>
      <c r="H46" s="8">
        <v>500</v>
      </c>
      <c r="I46" s="5">
        <v>20</v>
      </c>
      <c r="J46" s="21"/>
    </row>
    <row r="47" spans="2:10" ht="14.25">
      <c r="B47" s="41" t="str">
        <f>HYPERLINK("https://orele.ru/products/HJR-4102-L-05VDC-S-Z","[...]")</f>
        <v>[...]</v>
      </c>
      <c r="C47" s="16" t="s">
        <v>4</v>
      </c>
      <c r="D47" s="19" t="s">
        <v>93</v>
      </c>
      <c r="E47" s="6">
        <v>24.699897640000003</v>
      </c>
      <c r="F47" s="16" t="s">
        <v>330</v>
      </c>
      <c r="G47" s="7" t="s">
        <v>118</v>
      </c>
      <c r="H47" s="8">
        <v>1000</v>
      </c>
      <c r="I47" s="5">
        <v>25</v>
      </c>
      <c r="J47" s="21"/>
    </row>
    <row r="48" spans="2:10" ht="14.25" thickBot="1">
      <c r="B48" s="42" t="str">
        <f>HYPERLINK("https://orele.ru/products/HJR-4102-L-12VDC-S-Z","[...]")</f>
        <v>[...]</v>
      </c>
      <c r="C48" s="17" t="s">
        <v>4</v>
      </c>
      <c r="D48" s="20" t="s">
        <v>87</v>
      </c>
      <c r="E48" s="12">
        <v>24.173651640000003</v>
      </c>
      <c r="F48" s="17" t="s">
        <v>330</v>
      </c>
      <c r="G48" s="13">
        <v>500</v>
      </c>
      <c r="H48" s="14">
        <v>1000</v>
      </c>
      <c r="I48" s="11">
        <v>50</v>
      </c>
      <c r="J48" s="22"/>
    </row>
    <row r="49" spans="2:10" ht="14.25" thickTop="1">
      <c r="B49" s="43" t="str">
        <f>HYPERLINK("https://orele.ru/products/HJR-4102-L-24VDC-S-Z","[...]")</f>
        <v>[...]</v>
      </c>
      <c r="C49" s="16" t="s">
        <v>4</v>
      </c>
      <c r="D49" s="19" t="s">
        <v>88</v>
      </c>
      <c r="E49" s="6">
        <v>31.433230643328997</v>
      </c>
      <c r="F49" s="16" t="s">
        <v>330</v>
      </c>
      <c r="G49" s="7" t="s">
        <v>118</v>
      </c>
      <c r="H49" s="8">
        <v>1000</v>
      </c>
      <c r="I49" s="5">
        <v>25</v>
      </c>
      <c r="J49" s="21"/>
    </row>
    <row r="50" spans="2:10" ht="14.25">
      <c r="B50" s="41" t="str">
        <f>HYPERLINK("https://orele.ru/products/HJR-4102E-L-12VDC-S-Z","[...]")</f>
        <v>[...]</v>
      </c>
      <c r="C50" s="16" t="s">
        <v>4</v>
      </c>
      <c r="D50" s="19" t="s">
        <v>89</v>
      </c>
      <c r="E50" s="6">
        <v>28.160237056</v>
      </c>
      <c r="F50" s="16" t="s">
        <v>330</v>
      </c>
      <c r="G50" s="7">
        <v>950</v>
      </c>
      <c r="H50" s="8">
        <v>1000</v>
      </c>
      <c r="I50" s="5">
        <v>25</v>
      </c>
      <c r="J50" s="21"/>
    </row>
    <row r="51" spans="2:10" ht="14.25">
      <c r="B51" s="41" t="str">
        <f>HYPERLINK("https://orele.ru/products/HJR-4102E-L-24VDC-S-Z","[...]")</f>
        <v>[...]</v>
      </c>
      <c r="C51" s="16" t="s">
        <v>4</v>
      </c>
      <c r="D51" s="19" t="s">
        <v>156</v>
      </c>
      <c r="E51" s="6">
        <v>30.1086464</v>
      </c>
      <c r="F51" s="16" t="s">
        <v>330</v>
      </c>
      <c r="G51" s="7" t="s">
        <v>118</v>
      </c>
      <c r="H51" s="8">
        <v>1000</v>
      </c>
      <c r="I51" s="5">
        <v>25</v>
      </c>
      <c r="J51" s="21"/>
    </row>
    <row r="52" spans="2:10" ht="14.25">
      <c r="B52" s="41" t="str">
        <f>HYPERLINK("https://orele.ru/products/HLS-102F-DC24V","[...]")</f>
        <v>[...]</v>
      </c>
      <c r="C52" s="16" t="s">
        <v>16</v>
      </c>
      <c r="D52" s="19" t="s">
        <v>17</v>
      </c>
      <c r="E52" s="6">
        <v>72.79817566688001</v>
      </c>
      <c r="F52" s="16" t="s">
        <v>330</v>
      </c>
      <c r="G52" s="7">
        <v>221</v>
      </c>
      <c r="H52" s="8">
        <v>350</v>
      </c>
      <c r="I52" s="5">
        <v>35</v>
      </c>
      <c r="J52" s="21"/>
    </row>
    <row r="53" spans="2:10" ht="14.25">
      <c r="B53" s="41" t="str">
        <f>HYPERLINK("https://orele.ru/products/HLS-13F-2-AC240V","[...]")</f>
        <v>[...]</v>
      </c>
      <c r="C53" s="16" t="s">
        <v>16</v>
      </c>
      <c r="D53" s="19" t="s">
        <v>162</v>
      </c>
      <c r="E53" s="6">
        <v>102.18819158656001</v>
      </c>
      <c r="F53" s="16" t="s">
        <v>330</v>
      </c>
      <c r="G53" s="7">
        <v>48</v>
      </c>
      <c r="H53" s="8">
        <v>500</v>
      </c>
      <c r="I53" s="5">
        <v>25</v>
      </c>
      <c r="J53" s="21"/>
    </row>
    <row r="54" spans="2:10" ht="14.25" thickBot="1">
      <c r="B54" s="42" t="str">
        <f>HYPERLINK("https://orele.ru/products/HLS-14F1L-DC12V-C","[...]")</f>
        <v>[...]</v>
      </c>
      <c r="C54" s="17" t="s">
        <v>16</v>
      </c>
      <c r="D54" s="20" t="s">
        <v>49</v>
      </c>
      <c r="E54" s="12">
        <v>69.34492570555584</v>
      </c>
      <c r="F54" s="17" t="s">
        <v>330</v>
      </c>
      <c r="G54" s="13">
        <v>678</v>
      </c>
      <c r="H54" s="14">
        <v>1000</v>
      </c>
      <c r="I54" s="11">
        <v>25</v>
      </c>
      <c r="J54" s="22"/>
    </row>
    <row r="55" spans="2:10" ht="14.25" thickTop="1">
      <c r="B55" s="43" t="str">
        <f>HYPERLINK("https://orele.ru/products/HLS-14F1L-DC24V-C","[...]")</f>
        <v>[...]</v>
      </c>
      <c r="C55" s="16" t="s">
        <v>16</v>
      </c>
      <c r="D55" s="19" t="s">
        <v>50</v>
      </c>
      <c r="E55" s="6">
        <v>67.57867060000001</v>
      </c>
      <c r="F55" s="16" t="s">
        <v>330</v>
      </c>
      <c r="G55" s="7">
        <v>466</v>
      </c>
      <c r="H55" s="8">
        <v>1000</v>
      </c>
      <c r="I55" s="5">
        <v>25</v>
      </c>
      <c r="J55" s="21"/>
    </row>
    <row r="56" spans="2:10" ht="14.25">
      <c r="B56" s="41" t="str">
        <f>HYPERLINK("https://orele.ru/products/HLS-14F1L-DC5V-C","[...]")</f>
        <v>[...]</v>
      </c>
      <c r="C56" s="16" t="s">
        <v>16</v>
      </c>
      <c r="D56" s="19" t="s">
        <v>57</v>
      </c>
      <c r="E56" s="6">
        <v>67.6125072592</v>
      </c>
      <c r="F56" s="16" t="s">
        <v>330</v>
      </c>
      <c r="G56" s="7">
        <v>400</v>
      </c>
      <c r="H56" s="8">
        <v>1000</v>
      </c>
      <c r="I56" s="5">
        <v>25</v>
      </c>
      <c r="J56" s="21"/>
    </row>
    <row r="57" spans="2:10" ht="14.25">
      <c r="B57" s="41" t="str">
        <f>HYPERLINK("https://orele.ru/products/HLS-14F2D-DC12V-C","[...]")</f>
        <v>[...]</v>
      </c>
      <c r="C57" s="16" t="s">
        <v>16</v>
      </c>
      <c r="D57" s="19" t="s">
        <v>18</v>
      </c>
      <c r="E57" s="6">
        <v>71.188736</v>
      </c>
      <c r="F57" s="16" t="s">
        <v>330</v>
      </c>
      <c r="G57" s="7">
        <v>890</v>
      </c>
      <c r="H57" s="8">
        <v>1000</v>
      </c>
      <c r="I57" s="5">
        <v>25</v>
      </c>
      <c r="J57" s="21"/>
    </row>
    <row r="58" spans="2:10" ht="14.25">
      <c r="B58" s="41" t="str">
        <f>HYPERLINK("https://orele.ru/products/HLS-14F2D-DC24V-C","[...]")</f>
        <v>[...]</v>
      </c>
      <c r="C58" s="16" t="s">
        <v>16</v>
      </c>
      <c r="D58" s="19" t="s">
        <v>19</v>
      </c>
      <c r="E58" s="6">
        <v>83.922763008</v>
      </c>
      <c r="F58" s="16" t="s">
        <v>330</v>
      </c>
      <c r="G58" s="7">
        <v>110</v>
      </c>
      <c r="H58" s="8">
        <v>1000</v>
      </c>
      <c r="I58" s="5">
        <v>25</v>
      </c>
      <c r="J58" s="21"/>
    </row>
    <row r="59" spans="2:10" ht="14.25">
      <c r="B59" s="41" t="str">
        <f>HYPERLINK("https://orele.ru/products/HLS-14F2L-DC12V-C","[...]")</f>
        <v>[...]</v>
      </c>
      <c r="C59" s="16" t="s">
        <v>16</v>
      </c>
      <c r="D59" s="19" t="s">
        <v>20</v>
      </c>
      <c r="E59" s="6">
        <v>71.05645039727581</v>
      </c>
      <c r="F59" s="16" t="s">
        <v>118</v>
      </c>
      <c r="G59" s="7" t="s">
        <v>337</v>
      </c>
      <c r="H59" s="8">
        <v>1000</v>
      </c>
      <c r="I59" s="5">
        <v>25</v>
      </c>
      <c r="J59" s="21"/>
    </row>
    <row r="60" spans="2:10" ht="14.25" thickBot="1">
      <c r="B60" s="42" t="str">
        <f>HYPERLINK("https://orele.ru/products/HLS-14F2L-DC24V-C","[...]")</f>
        <v>[...]</v>
      </c>
      <c r="C60" s="17" t="s">
        <v>16</v>
      </c>
      <c r="D60" s="20" t="s">
        <v>39</v>
      </c>
      <c r="E60" s="12">
        <v>72.00789514802412</v>
      </c>
      <c r="F60" s="17" t="s">
        <v>118</v>
      </c>
      <c r="G60" s="13" t="s">
        <v>118</v>
      </c>
      <c r="H60" s="14">
        <v>1000</v>
      </c>
      <c r="I60" s="11">
        <v>25</v>
      </c>
      <c r="J60" s="22"/>
    </row>
    <row r="61" spans="2:10" ht="14.25" thickTop="1">
      <c r="B61" s="43" t="str">
        <f>HYPERLINK("https://orele.ru/products/HLS-14F2L-DC48V-C","[...]")</f>
        <v>[...]</v>
      </c>
      <c r="C61" s="16" t="s">
        <v>16</v>
      </c>
      <c r="D61" s="19" t="s">
        <v>133</v>
      </c>
      <c r="E61" s="6">
        <v>78.29086208000001</v>
      </c>
      <c r="F61" s="16" t="s">
        <v>330</v>
      </c>
      <c r="G61" s="7" t="s">
        <v>118</v>
      </c>
      <c r="H61" s="8">
        <v>1000</v>
      </c>
      <c r="I61" s="5">
        <v>25</v>
      </c>
      <c r="J61" s="21"/>
    </row>
    <row r="62" spans="2:10" ht="14.25">
      <c r="B62" s="41" t="str">
        <f>HYPERLINK("https://orele.ru/products/HLS-14F2L-DC5V-C","[...]")</f>
        <v>[...]</v>
      </c>
      <c r="C62" s="16" t="s">
        <v>16</v>
      </c>
      <c r="D62" s="19" t="s">
        <v>58</v>
      </c>
      <c r="E62" s="6">
        <v>73.55818045569622</v>
      </c>
      <c r="F62" s="16" t="s">
        <v>118</v>
      </c>
      <c r="G62" s="7" t="s">
        <v>337</v>
      </c>
      <c r="H62" s="8">
        <v>1000</v>
      </c>
      <c r="I62" s="5">
        <v>25</v>
      </c>
      <c r="J62" s="21"/>
    </row>
    <row r="63" spans="2:10" ht="14.25">
      <c r="B63" s="41" t="str">
        <f>HYPERLINK("https://orele.ru/products/HLS-14F2L-DC9V-C","[...]")</f>
        <v>[...]</v>
      </c>
      <c r="C63" s="16" t="s">
        <v>16</v>
      </c>
      <c r="D63" s="19" t="s">
        <v>126</v>
      </c>
      <c r="E63" s="6">
        <v>81.97435366399999</v>
      </c>
      <c r="F63" s="16" t="s">
        <v>330</v>
      </c>
      <c r="G63" s="7">
        <v>228</v>
      </c>
      <c r="H63" s="8">
        <v>1000</v>
      </c>
      <c r="I63" s="5">
        <v>25</v>
      </c>
      <c r="J63" s="21"/>
    </row>
    <row r="64" spans="2:10" ht="14.25">
      <c r="B64" s="41" t="str">
        <f>HYPERLINK("https://orele.ru/products/HLS-14F3D-DC12V-C","[...]")</f>
        <v>[...]</v>
      </c>
      <c r="C64" s="16" t="s">
        <v>16</v>
      </c>
      <c r="D64" s="19" t="s">
        <v>21</v>
      </c>
      <c r="E64" s="6">
        <v>81.60019199999999</v>
      </c>
      <c r="F64" s="16" t="s">
        <v>330</v>
      </c>
      <c r="G64" s="7">
        <v>955</v>
      </c>
      <c r="H64" s="8">
        <v>1000</v>
      </c>
      <c r="I64" s="5">
        <v>25</v>
      </c>
      <c r="J64" s="21"/>
    </row>
    <row r="65" spans="2:10" ht="14.25">
      <c r="B65" s="41" t="str">
        <f>HYPERLINK("https://orele.ru/products/HLS-14F3D-DC24V-C","[...]")</f>
        <v>[...]</v>
      </c>
      <c r="C65" s="16" t="s">
        <v>16</v>
      </c>
      <c r="D65" s="19" t="s">
        <v>22</v>
      </c>
      <c r="E65" s="6">
        <v>82.558464</v>
      </c>
      <c r="F65" s="16" t="s">
        <v>118</v>
      </c>
      <c r="G65" s="7">
        <v>1</v>
      </c>
      <c r="H65" s="8">
        <v>1000</v>
      </c>
      <c r="I65" s="5">
        <v>25</v>
      </c>
      <c r="J65" s="21"/>
    </row>
    <row r="66" spans="2:10" ht="14.25" thickBot="1">
      <c r="B66" s="42" t="str">
        <f>HYPERLINK("https://orele.ru/products/HLS-14F3L-DC12V-C","[...]")</f>
        <v>[...]</v>
      </c>
      <c r="C66" s="17" t="s">
        <v>16</v>
      </c>
      <c r="D66" s="20" t="s">
        <v>23</v>
      </c>
      <c r="E66" s="12">
        <v>69.26708805975278</v>
      </c>
      <c r="F66" s="17" t="s">
        <v>118</v>
      </c>
      <c r="G66" s="13" t="s">
        <v>118</v>
      </c>
      <c r="H66" s="14">
        <v>1000</v>
      </c>
      <c r="I66" s="11">
        <v>25</v>
      </c>
      <c r="J66" s="22"/>
    </row>
    <row r="67" spans="2:10" ht="14.25" thickTop="1">
      <c r="B67" s="43" t="str">
        <f>HYPERLINK("https://orele.ru/products/HLS-14F3L-DC12V-C-T","[...]")</f>
        <v>[...]</v>
      </c>
      <c r="C67" s="16" t="s">
        <v>16</v>
      </c>
      <c r="D67" s="19" t="s">
        <v>75</v>
      </c>
      <c r="E67" s="6">
        <v>83.104240128</v>
      </c>
      <c r="F67" s="16" t="s">
        <v>330</v>
      </c>
      <c r="G67" s="7">
        <v>153</v>
      </c>
      <c r="H67" s="8">
        <v>1000</v>
      </c>
      <c r="I67" s="5">
        <v>25</v>
      </c>
      <c r="J67" s="21"/>
    </row>
    <row r="68" spans="2:10" ht="14.25">
      <c r="B68" s="41" t="str">
        <f>HYPERLINK("https://orele.ru/products/HLS-14F3L-DC24V-C","[...]")</f>
        <v>[...]</v>
      </c>
      <c r="C68" s="16" t="s">
        <v>16</v>
      </c>
      <c r="D68" s="19" t="s">
        <v>24</v>
      </c>
      <c r="E68" s="6">
        <v>72.097728</v>
      </c>
      <c r="F68" s="16" t="s">
        <v>118</v>
      </c>
      <c r="G68" s="7" t="s">
        <v>316</v>
      </c>
      <c r="H68" s="8">
        <v>1000</v>
      </c>
      <c r="I68" s="5">
        <v>25</v>
      </c>
      <c r="J68" s="21"/>
    </row>
    <row r="69" spans="2:10" ht="14.25">
      <c r="B69" s="41" t="str">
        <f>HYPERLINK("https://orele.ru/products/HLS-14F3L-DC48V-C","[...]")</f>
        <v>[...]</v>
      </c>
      <c r="C69" s="16" t="s">
        <v>16</v>
      </c>
      <c r="D69" s="19" t="s">
        <v>132</v>
      </c>
      <c r="E69" s="6">
        <v>77.9696618487395</v>
      </c>
      <c r="F69" s="16" t="s">
        <v>118</v>
      </c>
      <c r="G69" s="7" t="s">
        <v>118</v>
      </c>
      <c r="H69" s="8">
        <v>1000</v>
      </c>
      <c r="I69" s="5">
        <v>25</v>
      </c>
      <c r="J69" s="21"/>
    </row>
    <row r="70" spans="2:10" ht="14.25">
      <c r="B70" s="41" t="str">
        <f>HYPERLINK("https://orele.ru/products/HLS-14F3L-DC5V-C","[...]")</f>
        <v>[...]</v>
      </c>
      <c r="C70" s="16" t="s">
        <v>16</v>
      </c>
      <c r="D70" s="19" t="s">
        <v>59</v>
      </c>
      <c r="E70" s="6">
        <v>73.19713708008489</v>
      </c>
      <c r="F70" s="16" t="s">
        <v>330</v>
      </c>
      <c r="G70" s="7" t="s">
        <v>118</v>
      </c>
      <c r="H70" s="8">
        <v>1000</v>
      </c>
      <c r="I70" s="5">
        <v>25</v>
      </c>
      <c r="J70" s="21"/>
    </row>
    <row r="71" spans="2:10" ht="14.25">
      <c r="B71" s="41" t="str">
        <f>HYPERLINK("https://orele.ru/products/HLS-14F3L-DC9V-C","[...]")</f>
        <v>[...]</v>
      </c>
      <c r="C71" s="16" t="s">
        <v>16</v>
      </c>
      <c r="D71" s="19" t="s">
        <v>177</v>
      </c>
      <c r="E71" s="6">
        <v>68.08356944608</v>
      </c>
      <c r="F71" s="16" t="s">
        <v>330</v>
      </c>
      <c r="G71" s="7">
        <v>820</v>
      </c>
      <c r="H71" s="8">
        <v>1000</v>
      </c>
      <c r="I71" s="5">
        <v>25</v>
      </c>
      <c r="J71" s="21"/>
    </row>
    <row r="72" spans="2:10" ht="14.25" thickBot="1">
      <c r="B72" s="42" t="str">
        <f>HYPERLINK("https://orele.ru/products/HLS-4120-DC12V-S-AE","[...]")</f>
        <v>[...]</v>
      </c>
      <c r="C72" s="17" t="s">
        <v>16</v>
      </c>
      <c r="D72" s="20" t="s">
        <v>76</v>
      </c>
      <c r="E72" s="12">
        <v>56.927354624</v>
      </c>
      <c r="F72" s="17" t="s">
        <v>330</v>
      </c>
      <c r="G72" s="13" t="s">
        <v>118</v>
      </c>
      <c r="H72" s="14">
        <v>600</v>
      </c>
      <c r="I72" s="11">
        <v>30</v>
      </c>
      <c r="J72" s="22"/>
    </row>
    <row r="73" spans="2:10" ht="14.25" thickTop="1">
      <c r="B73" s="43" t="str">
        <f>HYPERLINK("https://orele.ru/products/HLS-4120-DC12V-S-CE","[...]")</f>
        <v>[...]</v>
      </c>
      <c r="C73" s="16" t="s">
        <v>16</v>
      </c>
      <c r="D73" s="19" t="s">
        <v>77</v>
      </c>
      <c r="E73" s="6">
        <v>63.58817755662789</v>
      </c>
      <c r="F73" s="16" t="s">
        <v>330</v>
      </c>
      <c r="G73" s="7">
        <v>697</v>
      </c>
      <c r="H73" s="8">
        <v>600</v>
      </c>
      <c r="I73" s="5">
        <v>30</v>
      </c>
      <c r="J73" s="21"/>
    </row>
    <row r="74" spans="2:10" ht="14.25">
      <c r="B74" s="41" t="str">
        <f>HYPERLINK("https://orele.ru/products/HLS-4120-DC24V-S-AE","[...]")</f>
        <v>[...]</v>
      </c>
      <c r="C74" s="16" t="s">
        <v>16</v>
      </c>
      <c r="D74" s="19" t="s">
        <v>78</v>
      </c>
      <c r="E74" s="6">
        <v>58.88040524800001</v>
      </c>
      <c r="F74" s="16" t="s">
        <v>118</v>
      </c>
      <c r="G74" s="7" t="s">
        <v>337</v>
      </c>
      <c r="H74" s="8">
        <v>600</v>
      </c>
      <c r="I74" s="5">
        <v>30</v>
      </c>
      <c r="J74" s="21"/>
    </row>
    <row r="75" spans="2:10" ht="14.25">
      <c r="B75" s="41" t="str">
        <f>HYPERLINK("https://orele.ru/products/HLS-4120-DC24V-S-CE","[...]")</f>
        <v>[...]</v>
      </c>
      <c r="C75" s="16" t="s">
        <v>16</v>
      </c>
      <c r="D75" s="19" t="s">
        <v>79</v>
      </c>
      <c r="E75" s="6">
        <v>59.906048</v>
      </c>
      <c r="F75" s="16" t="s">
        <v>330</v>
      </c>
      <c r="G75" s="7">
        <v>540</v>
      </c>
      <c r="H75" s="8">
        <v>600</v>
      </c>
      <c r="I75" s="5">
        <v>30</v>
      </c>
      <c r="J75" s="21"/>
    </row>
    <row r="76" spans="2:10" ht="14.25">
      <c r="B76" s="41" t="str">
        <f>HYPERLINK("https://orele.ru/products/HLS-4453-18F-AC110V-4C","[...]")</f>
        <v>[...]</v>
      </c>
      <c r="C76" s="16" t="s">
        <v>16</v>
      </c>
      <c r="D76" s="19" t="s">
        <v>206</v>
      </c>
      <c r="E76" s="6">
        <v>121.04686288</v>
      </c>
      <c r="F76" s="16" t="s">
        <v>330</v>
      </c>
      <c r="G76" s="7">
        <v>260</v>
      </c>
      <c r="H76" s="8">
        <v>500</v>
      </c>
      <c r="I76" s="5">
        <v>25</v>
      </c>
      <c r="J76" s="21"/>
    </row>
    <row r="77" spans="2:10" ht="14.25">
      <c r="B77" s="41" t="str">
        <f>HYPERLINK("https://orele.ru/products/HLS-4453-18F-AC240V-2C","[...]")</f>
        <v>[...]</v>
      </c>
      <c r="C77" s="16" t="s">
        <v>16</v>
      </c>
      <c r="D77" s="19" t="s">
        <v>104</v>
      </c>
      <c r="E77" s="6">
        <v>104.13064876032003</v>
      </c>
      <c r="F77" s="16" t="s">
        <v>330</v>
      </c>
      <c r="G77" s="7">
        <v>200</v>
      </c>
      <c r="H77" s="8">
        <v>500</v>
      </c>
      <c r="I77" s="5">
        <v>25</v>
      </c>
      <c r="J77" s="21"/>
    </row>
    <row r="78" spans="2:10" ht="14.25" thickBot="1">
      <c r="B78" s="42" t="str">
        <f>HYPERLINK("https://orele.ru/products/HLS-4453-18F-AC240V-3C","[...]")</f>
        <v>[...]</v>
      </c>
      <c r="C78" s="17" t="s">
        <v>16</v>
      </c>
      <c r="D78" s="20" t="s">
        <v>105</v>
      </c>
      <c r="E78" s="12">
        <v>104.09388120320001</v>
      </c>
      <c r="F78" s="17" t="s">
        <v>330</v>
      </c>
      <c r="G78" s="13">
        <v>382</v>
      </c>
      <c r="H78" s="14">
        <v>500</v>
      </c>
      <c r="I78" s="11">
        <v>25</v>
      </c>
      <c r="J78" s="22"/>
    </row>
    <row r="79" spans="2:10" ht="14.25" thickTop="1">
      <c r="B79" s="43" t="str">
        <f>HYPERLINK("https://orele.ru/products/HLS-4453-18F-AC24V-3C","[...]")</f>
        <v>[...]</v>
      </c>
      <c r="C79" s="16" t="s">
        <v>16</v>
      </c>
      <c r="D79" s="19" t="s">
        <v>37</v>
      </c>
      <c r="E79" s="6">
        <v>104.08814080151716</v>
      </c>
      <c r="F79" s="16" t="s">
        <v>330</v>
      </c>
      <c r="G79" s="7">
        <v>130</v>
      </c>
      <c r="H79" s="8">
        <v>500</v>
      </c>
      <c r="I79" s="5">
        <v>25</v>
      </c>
      <c r="J79" s="21"/>
    </row>
    <row r="80" spans="2:10" ht="14.25">
      <c r="B80" s="41" t="str">
        <f>HYPERLINK("https://orele.ru/products/HLS-4453-18F-AC24V-4C","[...]")</f>
        <v>[...]</v>
      </c>
      <c r="C80" s="16" t="s">
        <v>16</v>
      </c>
      <c r="D80" s="19" t="s">
        <v>38</v>
      </c>
      <c r="E80" s="6">
        <v>104.07509101112691</v>
      </c>
      <c r="F80" s="16" t="s">
        <v>330</v>
      </c>
      <c r="G80" s="7">
        <v>533</v>
      </c>
      <c r="H80" s="8">
        <v>500</v>
      </c>
      <c r="I80" s="5">
        <v>25</v>
      </c>
      <c r="J80" s="21"/>
    </row>
    <row r="81" spans="2:10" ht="14.25">
      <c r="B81" s="41" t="str">
        <f>HYPERLINK("https://orele.ru/products/HLS-4453-18F-DC110V-4C","[...]")</f>
        <v>[...]</v>
      </c>
      <c r="C81" s="16" t="s">
        <v>16</v>
      </c>
      <c r="D81" s="19" t="s">
        <v>207</v>
      </c>
      <c r="E81" s="6">
        <v>121.04686288</v>
      </c>
      <c r="F81" s="16" t="s">
        <v>330</v>
      </c>
      <c r="G81" s="7">
        <v>400</v>
      </c>
      <c r="H81" s="8">
        <v>500</v>
      </c>
      <c r="I81" s="5">
        <v>25</v>
      </c>
      <c r="J81" s="21"/>
    </row>
    <row r="82" spans="2:10" ht="14.25">
      <c r="B82" s="41" t="str">
        <f>HYPERLINK("https://orele.ru/products/HLS-4453-18F-DC12V-2C","[...]")</f>
        <v>[...]</v>
      </c>
      <c r="C82" s="16" t="s">
        <v>16</v>
      </c>
      <c r="D82" s="19" t="s">
        <v>25</v>
      </c>
      <c r="E82" s="6">
        <v>104.58108166912002</v>
      </c>
      <c r="F82" s="16" t="s">
        <v>330</v>
      </c>
      <c r="G82" s="7">
        <v>298</v>
      </c>
      <c r="H82" s="8">
        <v>500</v>
      </c>
      <c r="I82" s="5">
        <v>25</v>
      </c>
      <c r="J82" s="21"/>
    </row>
    <row r="83" spans="2:10" ht="14.25">
      <c r="B83" s="41" t="str">
        <f>HYPERLINK("https://orele.ru/products/HLS-4453-18F-DC12V-3C","[...]")</f>
        <v>[...]</v>
      </c>
      <c r="C83" s="16" t="s">
        <v>16</v>
      </c>
      <c r="D83" s="19" t="s">
        <v>26</v>
      </c>
      <c r="E83" s="6">
        <v>104.36675929344003</v>
      </c>
      <c r="F83" s="16" t="s">
        <v>330</v>
      </c>
      <c r="G83" s="7">
        <v>563</v>
      </c>
      <c r="H83" s="8">
        <v>500</v>
      </c>
      <c r="I83" s="5">
        <v>25</v>
      </c>
      <c r="J83" s="21"/>
    </row>
    <row r="84" spans="2:10" ht="14.25" thickBot="1">
      <c r="B84" s="42" t="str">
        <f>HYPERLINK("https://orele.ru/products/HLS-4453-18F-DC12V-4C-P","[...]")</f>
        <v>[...]</v>
      </c>
      <c r="C84" s="17" t="s">
        <v>16</v>
      </c>
      <c r="D84" s="20" t="s">
        <v>313</v>
      </c>
      <c r="E84" s="12">
        <v>116.116032</v>
      </c>
      <c r="F84" s="17" t="s">
        <v>118</v>
      </c>
      <c r="G84" s="13" t="s">
        <v>337</v>
      </c>
      <c r="H84" s="14">
        <v>500</v>
      </c>
      <c r="I84" s="11">
        <v>25</v>
      </c>
      <c r="J84" s="22"/>
    </row>
    <row r="85" spans="2:10" ht="14.25" thickTop="1">
      <c r="B85" s="43" t="str">
        <f>HYPERLINK("https://orele.ru/products/HLS-4453-18F-DC24V-2C","[...]")</f>
        <v>[...]</v>
      </c>
      <c r="C85" s="16" t="s">
        <v>16</v>
      </c>
      <c r="D85" s="19" t="s">
        <v>27</v>
      </c>
      <c r="E85" s="6">
        <v>104.56155116288002</v>
      </c>
      <c r="F85" s="16" t="s">
        <v>330</v>
      </c>
      <c r="G85" s="7">
        <v>258</v>
      </c>
      <c r="H85" s="8">
        <v>500</v>
      </c>
      <c r="I85" s="5">
        <v>25</v>
      </c>
      <c r="J85" s="21"/>
    </row>
    <row r="86" spans="2:10" ht="14.25">
      <c r="B86" s="41" t="str">
        <f>HYPERLINK("https://orele.ru/products/HLS-4453-18F-DC24V-3C","[...]")</f>
        <v>[...]</v>
      </c>
      <c r="C86" s="16" t="s">
        <v>16</v>
      </c>
      <c r="D86" s="19" t="s">
        <v>28</v>
      </c>
      <c r="E86" s="6">
        <v>104.46558872064001</v>
      </c>
      <c r="F86" s="16" t="s">
        <v>330</v>
      </c>
      <c r="G86" s="7">
        <v>43</v>
      </c>
      <c r="H86" s="8">
        <v>500</v>
      </c>
      <c r="I86" s="5">
        <v>25</v>
      </c>
      <c r="J86" s="21"/>
    </row>
    <row r="87" spans="2:10" ht="14.25">
      <c r="B87" s="41" t="str">
        <f>HYPERLINK("https://orele.ru/products/HLS-4453-18F-DC24V-4C","[...]")</f>
        <v>[...]</v>
      </c>
      <c r="C87" s="16" t="s">
        <v>16</v>
      </c>
      <c r="D87" s="19" t="s">
        <v>29</v>
      </c>
      <c r="E87" s="6">
        <v>104.34797267907872</v>
      </c>
      <c r="F87" s="16" t="s">
        <v>330</v>
      </c>
      <c r="G87" s="7">
        <v>92</v>
      </c>
      <c r="H87" s="8">
        <v>500</v>
      </c>
      <c r="I87" s="5">
        <v>25</v>
      </c>
      <c r="J87" s="21"/>
    </row>
    <row r="88" spans="2:10" ht="14.25">
      <c r="B88" s="41" t="str">
        <f>HYPERLINK("https://orele.ru/products/HLS-4453-18F-DC24V-4C-P","[...]")</f>
        <v>[...]</v>
      </c>
      <c r="C88" s="16" t="s">
        <v>16</v>
      </c>
      <c r="D88" s="19" t="s">
        <v>317</v>
      </c>
      <c r="E88" s="6">
        <v>116.116032</v>
      </c>
      <c r="F88" s="16" t="s">
        <v>118</v>
      </c>
      <c r="G88" s="7" t="s">
        <v>337</v>
      </c>
      <c r="H88" s="8">
        <v>500</v>
      </c>
      <c r="I88" s="5">
        <v>25</v>
      </c>
      <c r="J88" s="21"/>
    </row>
    <row r="89" spans="2:10" ht="14.25">
      <c r="B89" s="41" t="str">
        <f>HYPERLINK("https://orele.ru/products/HLS-4453-18F-DC48V-4C","[...]")</f>
        <v>[...]</v>
      </c>
      <c r="C89" s="16" t="s">
        <v>16</v>
      </c>
      <c r="D89" s="19" t="s">
        <v>208</v>
      </c>
      <c r="E89" s="6">
        <v>104.29105216000002</v>
      </c>
      <c r="F89" s="16" t="s">
        <v>330</v>
      </c>
      <c r="G89" s="7">
        <v>439</v>
      </c>
      <c r="H89" s="8">
        <v>500</v>
      </c>
      <c r="I89" s="5">
        <v>25</v>
      </c>
      <c r="J89" s="21"/>
    </row>
    <row r="90" spans="2:10" ht="14.25" thickBot="1">
      <c r="B90" s="42" t="str">
        <f>HYPERLINK("https://orele.ru/products/HLS8-22F-DC12V-C","[...]")</f>
        <v>[...]</v>
      </c>
      <c r="C90" s="17" t="s">
        <v>16</v>
      </c>
      <c r="D90" s="20" t="s">
        <v>51</v>
      </c>
      <c r="E90" s="12">
        <v>31.762048</v>
      </c>
      <c r="F90" s="17" t="s">
        <v>118</v>
      </c>
      <c r="G90" s="13" t="s">
        <v>337</v>
      </c>
      <c r="H90" s="14">
        <v>1000</v>
      </c>
      <c r="I90" s="11">
        <v>50</v>
      </c>
      <c r="J90" s="22"/>
    </row>
    <row r="91" spans="2:10" ht="14.25" thickTop="1">
      <c r="B91" s="43" t="str">
        <f>HYPERLINK("https://orele.ru/products/HLS8-22F-DC24V-C","[...]")</f>
        <v>[...]</v>
      </c>
      <c r="C91" s="16" t="s">
        <v>16</v>
      </c>
      <c r="D91" s="19" t="s">
        <v>52</v>
      </c>
      <c r="E91" s="6">
        <v>37.9012066271573</v>
      </c>
      <c r="F91" s="16" t="s">
        <v>330</v>
      </c>
      <c r="G91" s="7" t="s">
        <v>118</v>
      </c>
      <c r="H91" s="8">
        <v>1000</v>
      </c>
      <c r="I91" s="5">
        <v>50</v>
      </c>
      <c r="J91" s="21"/>
    </row>
    <row r="92" spans="2:10" ht="14.25">
      <c r="B92" s="41" t="str">
        <f>HYPERLINK("https://orele.ru/products/HLS8-22F-DC5V-C","[...]")</f>
        <v>[...]</v>
      </c>
      <c r="C92" s="16" t="s">
        <v>16</v>
      </c>
      <c r="D92" s="19" t="s">
        <v>60</v>
      </c>
      <c r="E92" s="6">
        <v>34.91938623168</v>
      </c>
      <c r="F92" s="16" t="s">
        <v>330</v>
      </c>
      <c r="G92" s="7" t="s">
        <v>118</v>
      </c>
      <c r="H92" s="8">
        <v>1000</v>
      </c>
      <c r="I92" s="5">
        <v>50</v>
      </c>
      <c r="J92" s="21"/>
    </row>
    <row r="93" spans="2:10" ht="14.25">
      <c r="B93" s="41" t="str">
        <f>HYPERLINK("https://orele.ru/products/HLS8-22F-DC9V-C","[...]")</f>
        <v>[...]</v>
      </c>
      <c r="C93" s="16" t="s">
        <v>16</v>
      </c>
      <c r="D93" s="19" t="s">
        <v>61</v>
      </c>
      <c r="E93" s="6">
        <v>35.78645683199999</v>
      </c>
      <c r="F93" s="16" t="s">
        <v>330</v>
      </c>
      <c r="G93" s="7">
        <v>400</v>
      </c>
      <c r="H93" s="8">
        <v>1000</v>
      </c>
      <c r="I93" s="5">
        <v>50</v>
      </c>
      <c r="J93" s="21"/>
    </row>
    <row r="94" spans="2:10" ht="14.25">
      <c r="B94" s="41" t="str">
        <f>HYPERLINK("https://orele.ru/products/HLS8L-DC12V-S-A-HLS-T73-","[...]")</f>
        <v>[...]</v>
      </c>
      <c r="C94" s="16" t="s">
        <v>16</v>
      </c>
      <c r="D94" s="19" t="s">
        <v>164</v>
      </c>
      <c r="E94" s="6">
        <v>26.002102546880003</v>
      </c>
      <c r="F94" s="16" t="s">
        <v>330</v>
      </c>
      <c r="G94" s="7" t="s">
        <v>118</v>
      </c>
      <c r="H94" s="8">
        <v>1000</v>
      </c>
      <c r="I94" s="5">
        <v>20</v>
      </c>
      <c r="J94" s="21"/>
    </row>
    <row r="95" spans="2:10" ht="14.25">
      <c r="B95" s="41" t="str">
        <f>HYPERLINK("https://orele.ru/products/HLS8L-DC12V-S-C-HLS-T73-","[...]")</f>
        <v>[...]</v>
      </c>
      <c r="C95" s="16" t="s">
        <v>16</v>
      </c>
      <c r="D95" s="19" t="s">
        <v>109</v>
      </c>
      <c r="E95" s="6">
        <v>28.076930571813875</v>
      </c>
      <c r="F95" s="16" t="s">
        <v>118</v>
      </c>
      <c r="G95" s="7" t="s">
        <v>118</v>
      </c>
      <c r="H95" s="8">
        <v>1000</v>
      </c>
      <c r="I95" s="5">
        <v>20</v>
      </c>
      <c r="J95" s="21"/>
    </row>
    <row r="96" spans="2:10" ht="14.25" thickBot="1">
      <c r="B96" s="42" t="str">
        <f>HYPERLINK("https://orele.ru/products/HLS8L-DC24V-S-C-HLS-T73-","[...]")</f>
        <v>[...]</v>
      </c>
      <c r="C96" s="17" t="s">
        <v>16</v>
      </c>
      <c r="D96" s="20" t="s">
        <v>110</v>
      </c>
      <c r="E96" s="12">
        <v>28.048064</v>
      </c>
      <c r="F96" s="17" t="s">
        <v>330</v>
      </c>
      <c r="G96" s="13" t="s">
        <v>118</v>
      </c>
      <c r="H96" s="14">
        <v>1000</v>
      </c>
      <c r="I96" s="11">
        <v>20</v>
      </c>
      <c r="J96" s="22"/>
    </row>
    <row r="97" spans="2:10" ht="14.25" thickTop="1">
      <c r="B97" s="43" t="str">
        <f>HYPERLINK("https://orele.ru/products/HLS8L-DC48V-S-C-HLS-T73-","[...]")</f>
        <v>[...]</v>
      </c>
      <c r="C97" s="16" t="s">
        <v>16</v>
      </c>
      <c r="D97" s="19" t="s">
        <v>111</v>
      </c>
      <c r="E97" s="6">
        <v>31.498495999999996</v>
      </c>
      <c r="F97" s="16" t="s">
        <v>118</v>
      </c>
      <c r="G97" s="7" t="s">
        <v>118</v>
      </c>
      <c r="H97" s="8">
        <v>1000</v>
      </c>
      <c r="I97" s="5">
        <v>20</v>
      </c>
      <c r="J97" s="21"/>
    </row>
    <row r="98" spans="2:10" ht="14.25">
      <c r="B98" s="41" t="str">
        <f>HYPERLINK("https://orele.ru/products/HLS8L-DC5V-S-C-HLS-T73-","[...]")</f>
        <v>[...]</v>
      </c>
      <c r="C98" s="16" t="s">
        <v>16</v>
      </c>
      <c r="D98" s="19" t="s">
        <v>112</v>
      </c>
      <c r="E98" s="6">
        <v>27.281395182628852</v>
      </c>
      <c r="F98" s="16" t="s">
        <v>118</v>
      </c>
      <c r="G98" s="7" t="s">
        <v>118</v>
      </c>
      <c r="H98" s="8">
        <v>1000</v>
      </c>
      <c r="I98" s="5">
        <v>20</v>
      </c>
      <c r="J98" s="21"/>
    </row>
    <row r="99" spans="2:10" ht="14.25">
      <c r="B99" s="41" t="str">
        <f>HYPERLINK("https://orele.ru/products/HLS8L-DC9V-S-C-HLS-T73-","[...]")</f>
        <v>[...]</v>
      </c>
      <c r="C99" s="16" t="s">
        <v>16</v>
      </c>
      <c r="D99" s="19" t="s">
        <v>113</v>
      </c>
      <c r="E99" s="6">
        <v>27.800128</v>
      </c>
      <c r="F99" s="16" t="s">
        <v>330</v>
      </c>
      <c r="G99" s="7" t="s">
        <v>118</v>
      </c>
      <c r="H99" s="8">
        <v>1000</v>
      </c>
      <c r="I99" s="5">
        <v>20</v>
      </c>
      <c r="J99" s="21"/>
    </row>
    <row r="100" spans="2:10" ht="14.25">
      <c r="B100" s="41" t="str">
        <f>HYPERLINK("https://orele.ru/products/HLS-CMA3-1-DC12V-C-NS-P","[...]")</f>
        <v>[...]</v>
      </c>
      <c r="C100" s="16" t="s">
        <v>16</v>
      </c>
      <c r="D100" s="19" t="s">
        <v>30</v>
      </c>
      <c r="E100" s="6">
        <v>135.340352</v>
      </c>
      <c r="F100" s="16" t="s">
        <v>118</v>
      </c>
      <c r="G100" s="7" t="s">
        <v>118</v>
      </c>
      <c r="H100" s="8">
        <v>300</v>
      </c>
      <c r="I100" s="5">
        <v>15</v>
      </c>
      <c r="J100" s="21"/>
    </row>
    <row r="101" spans="2:10" ht="14.25">
      <c r="B101" s="41" t="str">
        <f>HYPERLINK("https://orele.ru/products/HLS-CMA3-1-DC12V-C-Q","[...]")</f>
        <v>[...]</v>
      </c>
      <c r="C101" s="16" t="s">
        <v>16</v>
      </c>
      <c r="D101" s="19" t="s">
        <v>167</v>
      </c>
      <c r="E101" s="6">
        <v>159.42574179001767</v>
      </c>
      <c r="F101" s="16" t="s">
        <v>330</v>
      </c>
      <c r="G101" s="7">
        <v>90</v>
      </c>
      <c r="H101" s="8">
        <v>200</v>
      </c>
      <c r="I101" s="5">
        <v>10</v>
      </c>
      <c r="J101" s="21"/>
    </row>
    <row r="102" spans="2:10" ht="14.25" thickBot="1">
      <c r="B102" s="42" t="str">
        <f>HYPERLINK("https://orele.ru/products/HLS-CMA3-1-DC24V-C-NS-P","[...]")</f>
        <v>[...]</v>
      </c>
      <c r="C102" s="17" t="s">
        <v>16</v>
      </c>
      <c r="D102" s="20" t="s">
        <v>80</v>
      </c>
      <c r="E102" s="12">
        <v>157.9111396335484</v>
      </c>
      <c r="F102" s="17" t="s">
        <v>330</v>
      </c>
      <c r="G102" s="13">
        <v>430</v>
      </c>
      <c r="H102" s="14">
        <v>300</v>
      </c>
      <c r="I102" s="11">
        <v>15</v>
      </c>
      <c r="J102" s="22"/>
    </row>
    <row r="103" spans="2:10" ht="14.25" thickTop="1">
      <c r="B103" s="43" t="str">
        <f>HYPERLINK("https://orele.ru/products/HLS-CMA3-DC12V-A","[...]")</f>
        <v>[...]</v>
      </c>
      <c r="C103" s="16" t="s">
        <v>16</v>
      </c>
      <c r="D103" s="19" t="s">
        <v>300</v>
      </c>
      <c r="E103" s="6">
        <v>70.020672</v>
      </c>
      <c r="F103" s="16" t="s">
        <v>118</v>
      </c>
      <c r="G103" s="7" t="s">
        <v>337</v>
      </c>
      <c r="H103" s="8">
        <v>400</v>
      </c>
      <c r="I103" s="5">
        <v>20</v>
      </c>
      <c r="J103" s="21"/>
    </row>
    <row r="104" spans="2:10" ht="14.25">
      <c r="B104" s="41" t="str">
        <f>HYPERLINK("https://orele.ru/products/HLS-CMA3-DC12V-C","[...]")</f>
        <v>[...]</v>
      </c>
      <c r="C104" s="16" t="s">
        <v>16</v>
      </c>
      <c r="D104" s="19" t="s">
        <v>95</v>
      </c>
      <c r="E104" s="6">
        <v>73.502464</v>
      </c>
      <c r="F104" s="16" t="s">
        <v>118</v>
      </c>
      <c r="G104" s="7" t="s">
        <v>337</v>
      </c>
      <c r="H104" s="8">
        <v>400</v>
      </c>
      <c r="I104" s="5">
        <v>20</v>
      </c>
      <c r="J104" s="21"/>
    </row>
    <row r="105" spans="2:10" ht="14.25">
      <c r="B105" s="41" t="str">
        <f>HYPERLINK("https://orele.ru/products/HLS-CMA3-DC12V-C-D1","[...]")</f>
        <v>[...]</v>
      </c>
      <c r="C105" s="16" t="s">
        <v>16</v>
      </c>
      <c r="D105" s="19" t="s">
        <v>168</v>
      </c>
      <c r="E105" s="6">
        <v>100.72638464000002</v>
      </c>
      <c r="F105" s="16" t="s">
        <v>330</v>
      </c>
      <c r="G105" s="7" t="s">
        <v>98</v>
      </c>
      <c r="H105" s="8">
        <v>300</v>
      </c>
      <c r="I105" s="5">
        <v>15</v>
      </c>
      <c r="J105" s="21"/>
    </row>
    <row r="106" spans="2:10" ht="14.25">
      <c r="B106" s="41" t="str">
        <f>HYPERLINK("https://orele.ru/products/HLS-CMA3-DC12V-C-NS-P","[...]")</f>
        <v>[...]</v>
      </c>
      <c r="C106" s="16" t="s">
        <v>16</v>
      </c>
      <c r="D106" s="19" t="s">
        <v>169</v>
      </c>
      <c r="E106" s="6">
        <v>82.56429051345455</v>
      </c>
      <c r="F106" s="16" t="s">
        <v>330</v>
      </c>
      <c r="G106" s="7">
        <v>550</v>
      </c>
      <c r="H106" s="8">
        <v>400</v>
      </c>
      <c r="I106" s="5">
        <v>20</v>
      </c>
      <c r="J106" s="21"/>
    </row>
    <row r="107" spans="2:10" ht="14.25">
      <c r="B107" s="41" t="str">
        <f>HYPERLINK("https://orele.ru/products/HLS-CMA3-DC24V-A","[...]")</f>
        <v>[...]</v>
      </c>
      <c r="C107" s="16" t="s">
        <v>16</v>
      </c>
      <c r="D107" s="19" t="s">
        <v>170</v>
      </c>
      <c r="E107" s="6">
        <v>71.25481035294116</v>
      </c>
      <c r="F107" s="16" t="s">
        <v>118</v>
      </c>
      <c r="G107" s="7" t="s">
        <v>316</v>
      </c>
      <c r="H107" s="8">
        <v>400</v>
      </c>
      <c r="I107" s="5">
        <v>20</v>
      </c>
      <c r="J107" s="21"/>
    </row>
    <row r="108" spans="2:10" ht="14.25" thickBot="1">
      <c r="B108" s="42" t="str">
        <f>HYPERLINK("https://orele.ru/products/HLS-CMA3-DC24V-C","[...]")</f>
        <v>[...]</v>
      </c>
      <c r="C108" s="17" t="s">
        <v>16</v>
      </c>
      <c r="D108" s="20" t="s">
        <v>96</v>
      </c>
      <c r="E108" s="12">
        <v>74.1104</v>
      </c>
      <c r="F108" s="17" t="s">
        <v>118</v>
      </c>
      <c r="G108" s="13" t="s">
        <v>316</v>
      </c>
      <c r="H108" s="14">
        <v>400</v>
      </c>
      <c r="I108" s="11">
        <v>20</v>
      </c>
      <c r="J108" s="22"/>
    </row>
    <row r="109" spans="2:10" ht="14.25" thickTop="1">
      <c r="B109" s="43" t="str">
        <f>HYPERLINK("https://orele.ru/products/HLS-CMA3-DC24V-C-D1","[...]")</f>
        <v>[...]</v>
      </c>
      <c r="C109" s="16" t="s">
        <v>16</v>
      </c>
      <c r="D109" s="19" t="s">
        <v>181</v>
      </c>
      <c r="E109" s="6">
        <v>86.854659584</v>
      </c>
      <c r="F109" s="16" t="s">
        <v>330</v>
      </c>
      <c r="G109" s="7" t="s">
        <v>118</v>
      </c>
      <c r="H109" s="8">
        <v>300</v>
      </c>
      <c r="I109" s="5">
        <v>15</v>
      </c>
      <c r="J109" s="21"/>
    </row>
    <row r="110" spans="2:10" ht="14.25">
      <c r="B110" s="41" t="str">
        <f>HYPERLINK("https://orele.ru/products/HLS-CMA3-DC24V-C-NS","[...]")</f>
        <v>[...]</v>
      </c>
      <c r="C110" s="16" t="s">
        <v>16</v>
      </c>
      <c r="D110" s="19" t="s">
        <v>56</v>
      </c>
      <c r="E110" s="6">
        <v>68.31532800000001</v>
      </c>
      <c r="F110" s="16" t="s">
        <v>118</v>
      </c>
      <c r="G110" s="7" t="s">
        <v>337</v>
      </c>
      <c r="H110" s="8">
        <v>400</v>
      </c>
      <c r="I110" s="5">
        <v>20</v>
      </c>
      <c r="J110" s="21"/>
    </row>
    <row r="111" spans="2:10" ht="14.25">
      <c r="B111" s="41" t="str">
        <f>HYPERLINK("https://orele.ru/products/HLS-CMA3-L-DC12V-C","[...]")</f>
        <v>[...]</v>
      </c>
      <c r="C111" s="16" t="s">
        <v>16</v>
      </c>
      <c r="D111" s="19" t="s">
        <v>280</v>
      </c>
      <c r="E111" s="6">
        <v>74.273536</v>
      </c>
      <c r="F111" s="16" t="s">
        <v>118</v>
      </c>
      <c r="G111" s="7" t="s">
        <v>316</v>
      </c>
      <c r="H111" s="8">
        <v>400</v>
      </c>
      <c r="I111" s="5">
        <v>20</v>
      </c>
      <c r="J111" s="21"/>
    </row>
    <row r="112" spans="2:10" ht="14.25">
      <c r="B112" s="41" t="str">
        <f>HYPERLINK("https://orele.ru/products/HLS-T78-DC12V-C","[...]")</f>
        <v>[...]</v>
      </c>
      <c r="C112" s="16" t="s">
        <v>16</v>
      </c>
      <c r="D112" s="19" t="s">
        <v>53</v>
      </c>
      <c r="E112" s="6">
        <v>27.143338370744008</v>
      </c>
      <c r="F112" s="16" t="s">
        <v>118</v>
      </c>
      <c r="G112" s="7" t="s">
        <v>118</v>
      </c>
      <c r="H112" s="8">
        <v>2000</v>
      </c>
      <c r="I112" s="5">
        <v>25</v>
      </c>
      <c r="J112" s="21"/>
    </row>
    <row r="113" spans="2:10" ht="14.25">
      <c r="B113" s="41" t="str">
        <f>HYPERLINK("https://orele.ru/products/HLS-T78-DC24V-C","[...]")</f>
        <v>[...]</v>
      </c>
      <c r="C113" s="16" t="s">
        <v>16</v>
      </c>
      <c r="D113" s="19" t="s">
        <v>54</v>
      </c>
      <c r="E113" s="6">
        <v>30.427641389440005</v>
      </c>
      <c r="F113" s="16" t="s">
        <v>330</v>
      </c>
      <c r="G113" s="7">
        <v>459</v>
      </c>
      <c r="H113" s="8">
        <v>2000</v>
      </c>
      <c r="I113" s="5">
        <v>25</v>
      </c>
      <c r="J113" s="21"/>
    </row>
    <row r="114" spans="2:10" ht="14.25" thickBot="1">
      <c r="B114" s="42" t="str">
        <f>HYPERLINK("https://orele.ru/products/HLS-T78-DC5V-C","[...]")</f>
        <v>[...]</v>
      </c>
      <c r="C114" s="17" t="s">
        <v>16</v>
      </c>
      <c r="D114" s="20" t="s">
        <v>62</v>
      </c>
      <c r="E114" s="12">
        <v>25.163758640000005</v>
      </c>
      <c r="F114" s="17" t="s">
        <v>330</v>
      </c>
      <c r="G114" s="13" t="s">
        <v>118</v>
      </c>
      <c r="H114" s="14">
        <v>2000</v>
      </c>
      <c r="I114" s="11">
        <v>25</v>
      </c>
      <c r="J114" s="22"/>
    </row>
    <row r="115" spans="2:10" ht="14.25" thickTop="1">
      <c r="B115" s="43" t="str">
        <f>HYPERLINK("https://orele.ru/products/HLS-T90-15F-DC12V-C","[...]")</f>
        <v>[...]</v>
      </c>
      <c r="C115" s="16" t="s">
        <v>16</v>
      </c>
      <c r="D115" s="19" t="s">
        <v>42</v>
      </c>
      <c r="E115" s="6">
        <v>79.199232</v>
      </c>
      <c r="F115" s="16" t="s">
        <v>330</v>
      </c>
      <c r="G115" s="7" t="s">
        <v>118</v>
      </c>
      <c r="H115" s="8">
        <v>500</v>
      </c>
      <c r="I115" s="5">
        <v>25</v>
      </c>
      <c r="J115" s="21"/>
    </row>
    <row r="116" spans="2:10" ht="14.25">
      <c r="B116" s="41" t="str">
        <f>HYPERLINK("https://orele.ru/products/HLS-T90-15F-DC24V-C","[...]")</f>
        <v>[...]</v>
      </c>
      <c r="C116" s="16" t="s">
        <v>16</v>
      </c>
      <c r="D116" s="19" t="s">
        <v>43</v>
      </c>
      <c r="E116" s="6">
        <v>82.94855833599999</v>
      </c>
      <c r="F116" s="16" t="s">
        <v>330</v>
      </c>
      <c r="G116" s="7" t="s">
        <v>118</v>
      </c>
      <c r="H116" s="8">
        <v>500</v>
      </c>
      <c r="I116" s="5">
        <v>25</v>
      </c>
      <c r="J116" s="21"/>
    </row>
    <row r="117" spans="2:10" ht="14.25">
      <c r="B117" s="41" t="str">
        <f>HYPERLINK("https://orele.ru/products/HLS-T91-16F-1-DC12V-C","[...]")</f>
        <v>[...]</v>
      </c>
      <c r="C117" s="16" t="s">
        <v>16</v>
      </c>
      <c r="D117" s="19" t="s">
        <v>31</v>
      </c>
      <c r="E117" s="6">
        <v>105.03382400000001</v>
      </c>
      <c r="F117" s="16" t="s">
        <v>330</v>
      </c>
      <c r="G117" s="7">
        <v>360</v>
      </c>
      <c r="H117" s="8">
        <v>400</v>
      </c>
      <c r="I117" s="5">
        <v>20</v>
      </c>
      <c r="J117" s="21"/>
    </row>
    <row r="118" spans="2:10" ht="14.25">
      <c r="B118" s="41" t="str">
        <f>HYPERLINK("https://orele.ru/products/HLS-T91-16F-2-DC12V-C","[...]")</f>
        <v>[...]</v>
      </c>
      <c r="C118" s="16" t="s">
        <v>16</v>
      </c>
      <c r="D118" s="19" t="s">
        <v>209</v>
      </c>
      <c r="E118" s="6">
        <v>90.13901381818181</v>
      </c>
      <c r="F118" s="16" t="s">
        <v>330</v>
      </c>
      <c r="G118" s="7">
        <v>485</v>
      </c>
      <c r="H118" s="8">
        <v>400</v>
      </c>
      <c r="I118" s="5">
        <v>20</v>
      </c>
      <c r="J118" s="21"/>
    </row>
    <row r="119" spans="2:10" ht="14.25">
      <c r="B119" s="41" t="str">
        <f>HYPERLINK("https://orele.ru/products/HLS-T91-16F-2-DC48V-C","[...]")</f>
        <v>[...]</v>
      </c>
      <c r="C119" s="16" t="s">
        <v>16</v>
      </c>
      <c r="D119" s="19" t="s">
        <v>210</v>
      </c>
      <c r="E119" s="6">
        <v>93.54745599999998</v>
      </c>
      <c r="F119" s="16" t="s">
        <v>330</v>
      </c>
      <c r="G119" s="7">
        <v>759</v>
      </c>
      <c r="H119" s="8">
        <v>400</v>
      </c>
      <c r="I119" s="5">
        <v>20</v>
      </c>
      <c r="J119" s="21"/>
    </row>
    <row r="120" spans="2:10" ht="14.25" thickBot="1">
      <c r="B120" s="42" t="str">
        <f>HYPERLINK("https://orele.ru/products/HLS-T91-16F-3-DC12V-C","[...]")</f>
        <v>[...]</v>
      </c>
      <c r="C120" s="17" t="s">
        <v>16</v>
      </c>
      <c r="D120" s="20" t="s">
        <v>40</v>
      </c>
      <c r="E120" s="12">
        <v>91.81331199999998</v>
      </c>
      <c r="F120" s="17" t="s">
        <v>330</v>
      </c>
      <c r="G120" s="13" t="s">
        <v>118</v>
      </c>
      <c r="H120" s="14">
        <v>200</v>
      </c>
      <c r="I120" s="11">
        <v>10</v>
      </c>
      <c r="J120" s="22"/>
    </row>
    <row r="121" spans="2:10" ht="14.25" thickTop="1">
      <c r="B121" s="43" t="str">
        <f>HYPERLINK("https://orele.ru/products/HLS-T91-16F-3-DC24V-C","[...]")</f>
        <v>[...]</v>
      </c>
      <c r="C121" s="16" t="s">
        <v>16</v>
      </c>
      <c r="D121" s="19" t="s">
        <v>41</v>
      </c>
      <c r="E121" s="6">
        <v>93.4592</v>
      </c>
      <c r="F121" s="16" t="s">
        <v>330</v>
      </c>
      <c r="G121" s="7">
        <v>180</v>
      </c>
      <c r="H121" s="8">
        <v>200</v>
      </c>
      <c r="I121" s="5">
        <v>10</v>
      </c>
      <c r="J121" s="21"/>
    </row>
    <row r="122" spans="2:10" ht="14.25">
      <c r="B122" s="41" t="str">
        <f>HYPERLINK("https://orele.ru/products/HRM4-S-DC5V","[...]")</f>
        <v>[...]</v>
      </c>
      <c r="C122" s="16" t="s">
        <v>115</v>
      </c>
      <c r="D122" s="19" t="s">
        <v>63</v>
      </c>
      <c r="E122" s="6">
        <v>88.54567680000002</v>
      </c>
      <c r="F122" s="16" t="s">
        <v>330</v>
      </c>
      <c r="G122" s="7">
        <v>58</v>
      </c>
      <c r="H122" s="8">
        <v>500</v>
      </c>
      <c r="I122" s="5">
        <v>20</v>
      </c>
      <c r="J122" s="21"/>
    </row>
    <row r="123" spans="2:10" ht="14.25">
      <c r="B123" s="41" t="str">
        <f>HYPERLINK("https://orele.ru/products/JD1939-12VDC-C","[...]")</f>
        <v>[...]</v>
      </c>
      <c r="C123" s="16" t="s">
        <v>186</v>
      </c>
      <c r="D123" s="19" t="s">
        <v>217</v>
      </c>
      <c r="E123" s="6">
        <v>128.874176</v>
      </c>
      <c r="F123" s="16" t="s">
        <v>330</v>
      </c>
      <c r="G123" s="7">
        <v>325</v>
      </c>
      <c r="H123" s="8">
        <v>500</v>
      </c>
      <c r="I123" s="5">
        <v>25</v>
      </c>
      <c r="J123" s="21"/>
    </row>
    <row r="124" spans="2:10" ht="14.25">
      <c r="B124" s="41" t="str">
        <f>HYPERLINK("https://orele.ru/products/JD1939-24VDC-C","[...]")</f>
        <v>[...]</v>
      </c>
      <c r="C124" s="16" t="s">
        <v>186</v>
      </c>
      <c r="D124" s="19" t="s">
        <v>218</v>
      </c>
      <c r="E124" s="6">
        <v>128.874176</v>
      </c>
      <c r="F124" s="16" t="s">
        <v>330</v>
      </c>
      <c r="G124" s="7">
        <v>400</v>
      </c>
      <c r="H124" s="8">
        <v>500</v>
      </c>
      <c r="I124" s="5">
        <v>25</v>
      </c>
      <c r="J124" s="21"/>
    </row>
    <row r="125" spans="2:10" ht="14.25">
      <c r="B125" s="41" t="str">
        <f>HYPERLINK("https://orele.ru/products/JD1949-12VDC-A","[...]")</f>
        <v>[...]</v>
      </c>
      <c r="C125" s="16" t="s">
        <v>186</v>
      </c>
      <c r="D125" s="19" t="s">
        <v>301</v>
      </c>
      <c r="E125" s="6">
        <v>103.85824</v>
      </c>
      <c r="F125" s="16" t="s">
        <v>330</v>
      </c>
      <c r="G125" s="7">
        <v>325</v>
      </c>
      <c r="H125" s="8">
        <v>500</v>
      </c>
      <c r="I125" s="5">
        <v>25</v>
      </c>
      <c r="J125" s="21"/>
    </row>
    <row r="126" spans="2:10" ht="14.25" thickBot="1">
      <c r="B126" s="42" t="str">
        <f>HYPERLINK("https://orele.ru/products/JD1949-12VDC-C","[...]")</f>
        <v>[...]</v>
      </c>
      <c r="C126" s="17" t="s">
        <v>186</v>
      </c>
      <c r="D126" s="20" t="s">
        <v>211</v>
      </c>
      <c r="E126" s="12">
        <v>112.27663481197735</v>
      </c>
      <c r="F126" s="17" t="s">
        <v>330</v>
      </c>
      <c r="G126" s="13" t="s">
        <v>118</v>
      </c>
      <c r="H126" s="14">
        <v>500</v>
      </c>
      <c r="I126" s="11">
        <v>25</v>
      </c>
      <c r="J126" s="22"/>
    </row>
    <row r="127" spans="2:10" ht="14.25" thickTop="1">
      <c r="B127" s="43" t="str">
        <f>HYPERLINK("https://orele.ru/products/JD1949-24VDC-A","[...]")</f>
        <v>[...]</v>
      </c>
      <c r="C127" s="16" t="s">
        <v>186</v>
      </c>
      <c r="D127" s="19" t="s">
        <v>287</v>
      </c>
      <c r="E127" s="6">
        <v>99.737536</v>
      </c>
      <c r="F127" s="16" t="s">
        <v>330</v>
      </c>
      <c r="G127" s="7">
        <v>360</v>
      </c>
      <c r="H127" s="8">
        <v>500</v>
      </c>
      <c r="I127" s="5">
        <v>25</v>
      </c>
      <c r="J127" s="21"/>
    </row>
    <row r="128" spans="2:10" ht="14.25">
      <c r="B128" s="41" t="str">
        <f>HYPERLINK("https://orele.ru/products/JD1949-24VDC-C","[...]")</f>
        <v>[...]</v>
      </c>
      <c r="C128" s="16" t="s">
        <v>186</v>
      </c>
      <c r="D128" s="19" t="s">
        <v>212</v>
      </c>
      <c r="E128" s="6">
        <v>132.796864</v>
      </c>
      <c r="F128" s="16">
        <v>500</v>
      </c>
      <c r="G128" s="7">
        <v>140</v>
      </c>
      <c r="H128" s="8">
        <v>500</v>
      </c>
      <c r="I128" s="5">
        <v>25</v>
      </c>
      <c r="J128" s="21"/>
    </row>
    <row r="129" spans="2:10" ht="14.25">
      <c r="B129" s="41" t="str">
        <f>HYPERLINK("https://orele.ru/products/JQC-3F-T73-12VDC-0-36","[...]")</f>
        <v>[...]</v>
      </c>
      <c r="C129" s="16" t="s">
        <v>186</v>
      </c>
      <c r="D129" s="19" t="s">
        <v>189</v>
      </c>
      <c r="E129" s="6">
        <v>22.837969160000004</v>
      </c>
      <c r="F129" s="16" t="s">
        <v>330</v>
      </c>
      <c r="G129" s="7" t="s">
        <v>118</v>
      </c>
      <c r="H129" s="8">
        <v>1000</v>
      </c>
      <c r="I129" s="5">
        <v>25</v>
      </c>
      <c r="J129" s="21"/>
    </row>
    <row r="130" spans="2:10" ht="14.25">
      <c r="B130" s="41" t="str">
        <f>HYPERLINK("https://orele.ru/products/JQC-3F-T73-24VDC-0-36","[...]")</f>
        <v>[...]</v>
      </c>
      <c r="C130" s="16" t="s">
        <v>186</v>
      </c>
      <c r="D130" s="19" t="s">
        <v>190</v>
      </c>
      <c r="E130" s="6">
        <v>22.499965344398344</v>
      </c>
      <c r="F130" s="16" t="s">
        <v>118</v>
      </c>
      <c r="G130" s="7" t="s">
        <v>118</v>
      </c>
      <c r="H130" s="8">
        <v>1000</v>
      </c>
      <c r="I130" s="5">
        <v>25</v>
      </c>
      <c r="J130" s="21"/>
    </row>
    <row r="131" spans="2:10" ht="14.25">
      <c r="B131" s="41" t="str">
        <f>HYPERLINK("https://orele.ru/products/JQC-3F-T73-5VDC-0-36","[...]")</f>
        <v>[...]</v>
      </c>
      <c r="C131" s="16" t="s">
        <v>186</v>
      </c>
      <c r="D131" s="19" t="s">
        <v>191</v>
      </c>
      <c r="E131" s="6">
        <v>22.837969160000004</v>
      </c>
      <c r="F131" s="16" t="s">
        <v>330</v>
      </c>
      <c r="G131" s="7" t="s">
        <v>118</v>
      </c>
      <c r="H131" s="8">
        <v>1000</v>
      </c>
      <c r="I131" s="5">
        <v>25</v>
      </c>
      <c r="J131" s="21"/>
    </row>
    <row r="132" spans="2:10" ht="14.25" thickBot="1">
      <c r="B132" s="42" t="str">
        <f>HYPERLINK("https://orele.ru/products/JQX-102F-H-12VDC","[...]")</f>
        <v>[...]</v>
      </c>
      <c r="C132" s="17" t="s">
        <v>186</v>
      </c>
      <c r="D132" s="20" t="s">
        <v>319</v>
      </c>
      <c r="E132" s="12">
        <v>85.23750400000002</v>
      </c>
      <c r="F132" s="17">
        <v>500</v>
      </c>
      <c r="G132" s="13" t="s">
        <v>316</v>
      </c>
      <c r="H132" s="14">
        <v>500</v>
      </c>
      <c r="I132" s="11">
        <v>10</v>
      </c>
      <c r="J132" s="22"/>
    </row>
    <row r="133" spans="2:10" ht="14.25" thickTop="1">
      <c r="B133" s="43" t="str">
        <f>HYPERLINK("https://orele.ru/products/JQX-120F-1Z-24VDC-100A","[...]")</f>
        <v>[...]</v>
      </c>
      <c r="C133" s="16" t="s">
        <v>5</v>
      </c>
      <c r="D133" s="19" t="s">
        <v>125</v>
      </c>
      <c r="E133" s="6">
        <v>1051.7332098559998</v>
      </c>
      <c r="F133" s="16" t="s">
        <v>330</v>
      </c>
      <c r="G133" s="7">
        <v>26</v>
      </c>
      <c r="H133" s="8">
        <v>72</v>
      </c>
      <c r="I133" s="5">
        <v>1</v>
      </c>
      <c r="J133" s="21"/>
    </row>
    <row r="134" spans="2:10" ht="14.25">
      <c r="B134" s="41" t="str">
        <f>HYPERLINK("https://orele.ru/products/JQX-15F-T90-12VDC-30A-0-9","[...]")</f>
        <v>[...]</v>
      </c>
      <c r="C134" s="16" t="s">
        <v>186</v>
      </c>
      <c r="D134" s="19" t="s">
        <v>197</v>
      </c>
      <c r="E134" s="6">
        <v>53.23321599999999</v>
      </c>
      <c r="F134" s="16" t="s">
        <v>118</v>
      </c>
      <c r="G134" s="7" t="s">
        <v>316</v>
      </c>
      <c r="H134" s="8">
        <v>600</v>
      </c>
      <c r="I134" s="5">
        <v>20</v>
      </c>
      <c r="J134" s="21"/>
    </row>
    <row r="135" spans="2:10" ht="14.25">
      <c r="B135" s="41" t="str">
        <f>HYPERLINK("https://orele.ru/products/JQX-15F-T90-12VDC-40A-0-9","[...]")</f>
        <v>[...]</v>
      </c>
      <c r="C135" s="16" t="s">
        <v>186</v>
      </c>
      <c r="D135" s="19" t="s">
        <v>198</v>
      </c>
      <c r="E135" s="6">
        <v>66.83881512689476</v>
      </c>
      <c r="F135" s="16" t="s">
        <v>330</v>
      </c>
      <c r="G135" s="7" t="s">
        <v>98</v>
      </c>
      <c r="H135" s="8">
        <v>600</v>
      </c>
      <c r="I135" s="5">
        <v>20</v>
      </c>
      <c r="J135" s="21"/>
    </row>
    <row r="136" spans="2:10" ht="14.25">
      <c r="B136" s="41" t="str">
        <f>HYPERLINK("https://orele.ru/products/JQX-15F-T90-24VDC-30A-0-9","[...]")</f>
        <v>[...]</v>
      </c>
      <c r="C136" s="16" t="s">
        <v>186</v>
      </c>
      <c r="D136" s="19" t="s">
        <v>199</v>
      </c>
      <c r="E136" s="6">
        <v>65.497088</v>
      </c>
      <c r="F136" s="16">
        <v>600</v>
      </c>
      <c r="G136" s="7">
        <v>169</v>
      </c>
      <c r="H136" s="8">
        <v>600</v>
      </c>
      <c r="I136" s="5">
        <v>20</v>
      </c>
      <c r="J136" s="21"/>
    </row>
    <row r="137" spans="2:10" ht="14.25">
      <c r="B137" s="41" t="str">
        <f>HYPERLINK("https://orele.ru/products/JQX-15F-T90-24VDC-40A-0-9","[...]")</f>
        <v>[...]</v>
      </c>
      <c r="C137" s="16" t="s">
        <v>186</v>
      </c>
      <c r="D137" s="19" t="s">
        <v>200</v>
      </c>
      <c r="E137" s="6">
        <v>67.523584</v>
      </c>
      <c r="F137" s="16" t="s">
        <v>118</v>
      </c>
      <c r="G137" s="7" t="s">
        <v>316</v>
      </c>
      <c r="H137" s="8">
        <v>600</v>
      </c>
      <c r="I137" s="5">
        <v>20</v>
      </c>
      <c r="J137" s="21"/>
    </row>
    <row r="138" spans="2:10" ht="14.25" thickBot="1">
      <c r="B138" s="42" t="str">
        <f>HYPERLINK("https://orele.ru/products/JQX-15F-T90-5VDC-30A-0-9","[...]")</f>
        <v>[...]</v>
      </c>
      <c r="C138" s="17" t="s">
        <v>186</v>
      </c>
      <c r="D138" s="20" t="s">
        <v>303</v>
      </c>
      <c r="E138" s="12">
        <v>52.486272</v>
      </c>
      <c r="F138" s="17" t="s">
        <v>330</v>
      </c>
      <c r="G138" s="13">
        <v>555</v>
      </c>
      <c r="H138" s="14">
        <v>600</v>
      </c>
      <c r="I138" s="11">
        <v>20</v>
      </c>
      <c r="J138" s="22"/>
    </row>
    <row r="139" spans="2:10" ht="14.25" thickTop="1">
      <c r="B139" s="43" t="str">
        <f>HYPERLINK("https://orele.ru/products/JQX-30F-T91-12VDC-30A-0-9","[...]")</f>
        <v>[...]</v>
      </c>
      <c r="C139" s="16" t="s">
        <v>186</v>
      </c>
      <c r="D139" s="19" t="s">
        <v>201</v>
      </c>
      <c r="E139" s="6">
        <v>72.62982400000001</v>
      </c>
      <c r="F139" s="16">
        <v>600</v>
      </c>
      <c r="G139" s="7">
        <v>115</v>
      </c>
      <c r="H139" s="8">
        <v>600</v>
      </c>
      <c r="I139" s="5">
        <v>20</v>
      </c>
      <c r="J139" s="21"/>
    </row>
    <row r="140" spans="2:10" ht="14.25">
      <c r="B140" s="41" t="str">
        <f>HYPERLINK("https://orele.ru/products/JQX-30F-T91-12VDC-40A-0-9","[...]")</f>
        <v>[...]</v>
      </c>
      <c r="C140" s="16" t="s">
        <v>186</v>
      </c>
      <c r="D140" s="19" t="s">
        <v>202</v>
      </c>
      <c r="E140" s="6">
        <v>83.54335999999999</v>
      </c>
      <c r="F140" s="16" t="s">
        <v>330</v>
      </c>
      <c r="G140" s="7">
        <v>805</v>
      </c>
      <c r="H140" s="8">
        <v>600</v>
      </c>
      <c r="I140" s="5">
        <v>20</v>
      </c>
      <c r="J140" s="21"/>
    </row>
    <row r="141" spans="2:10" ht="14.25">
      <c r="B141" s="41" t="str">
        <f>HYPERLINK("https://orele.ru/products/JQX-30F-T91-1H-12VDC-30A-0-9","[...]")</f>
        <v>[...]</v>
      </c>
      <c r="C141" s="16" t="s">
        <v>186</v>
      </c>
      <c r="D141" s="19" t="s">
        <v>282</v>
      </c>
      <c r="E141" s="6">
        <v>54.63347199999999</v>
      </c>
      <c r="F141" s="16" t="s">
        <v>118</v>
      </c>
      <c r="G141" s="7" t="s">
        <v>316</v>
      </c>
      <c r="H141" s="8">
        <v>600</v>
      </c>
      <c r="I141" s="5">
        <v>20</v>
      </c>
      <c r="J141" s="21"/>
    </row>
    <row r="142" spans="2:10" ht="14.25">
      <c r="B142" s="41" t="str">
        <f>HYPERLINK("https://orele.ru/products/JQX-30F-T91-1H-12VDC-40A-0-9","[...]")</f>
        <v>[...]</v>
      </c>
      <c r="C142" s="16" t="s">
        <v>186</v>
      </c>
      <c r="D142" s="19" t="s">
        <v>302</v>
      </c>
      <c r="E142" s="6">
        <v>68.18400000000001</v>
      </c>
      <c r="F142" s="16" t="s">
        <v>330</v>
      </c>
      <c r="G142" s="7" t="s">
        <v>98</v>
      </c>
      <c r="H142" s="8">
        <v>600</v>
      </c>
      <c r="I142" s="5">
        <v>20</v>
      </c>
      <c r="J142" s="21"/>
    </row>
    <row r="143" spans="2:10" ht="14.25">
      <c r="B143" s="41" t="str">
        <f>HYPERLINK("https://orele.ru/products/JQX-30F-T91-24VDC-30A-0-9","[...]")</f>
        <v>[...]</v>
      </c>
      <c r="C143" s="16" t="s">
        <v>186</v>
      </c>
      <c r="D143" s="19" t="s">
        <v>203</v>
      </c>
      <c r="E143" s="6">
        <v>56.156096</v>
      </c>
      <c r="F143" s="16" t="s">
        <v>330</v>
      </c>
      <c r="G143" s="7" t="s">
        <v>118</v>
      </c>
      <c r="H143" s="8">
        <v>600</v>
      </c>
      <c r="I143" s="5">
        <v>20</v>
      </c>
      <c r="J143" s="21"/>
    </row>
    <row r="144" spans="2:10" ht="14.25" thickBot="1">
      <c r="B144" s="42" t="str">
        <f>HYPERLINK("https://orele.ru/products/JQX-30F-T91-24VDC-40A-0-9","[...]")</f>
        <v>[...]</v>
      </c>
      <c r="C144" s="17" t="s">
        <v>186</v>
      </c>
      <c r="D144" s="20" t="s">
        <v>204</v>
      </c>
      <c r="E144" s="12">
        <v>90.27296</v>
      </c>
      <c r="F144" s="17" t="s">
        <v>330</v>
      </c>
      <c r="G144" s="13">
        <v>235</v>
      </c>
      <c r="H144" s="14">
        <v>600</v>
      </c>
      <c r="I144" s="11">
        <v>20</v>
      </c>
      <c r="J144" s="22"/>
    </row>
    <row r="145" spans="2:10" ht="14.25" thickTop="1">
      <c r="B145" s="43" t="str">
        <f>HYPERLINK("https://orele.ru/products/JQX-30F-T93-24VDC-30A-0-9","[...]")</f>
        <v>[...]</v>
      </c>
      <c r="C145" s="16" t="s">
        <v>186</v>
      </c>
      <c r="D145" s="19" t="s">
        <v>318</v>
      </c>
      <c r="E145" s="6">
        <v>59.452799999999996</v>
      </c>
      <c r="F145" s="16">
        <v>600</v>
      </c>
      <c r="G145" s="7" t="s">
        <v>316</v>
      </c>
      <c r="H145" s="8">
        <v>600</v>
      </c>
      <c r="I145" s="5">
        <v>20</v>
      </c>
      <c r="J145" s="21"/>
    </row>
    <row r="146" spans="2:10" ht="14.25">
      <c r="B146" s="41" t="str">
        <f>HYPERLINK("https://orele.ru/products/JQX-30F-T93-48VDC-30A-0-9","[...]")</f>
        <v>[...]</v>
      </c>
      <c r="C146" s="16" t="s">
        <v>186</v>
      </c>
      <c r="D146" s="19" t="s">
        <v>283</v>
      </c>
      <c r="E146" s="6">
        <v>81.441664</v>
      </c>
      <c r="F146" s="16" t="s">
        <v>330</v>
      </c>
      <c r="G146" s="7">
        <v>599</v>
      </c>
      <c r="H146" s="8">
        <v>600</v>
      </c>
      <c r="I146" s="5">
        <v>20</v>
      </c>
      <c r="J146" s="21"/>
    </row>
    <row r="147" spans="2:10" ht="14.25">
      <c r="B147" s="41" t="str">
        <f>HYPERLINK("https://orele.ru/products/JQX-30F-2Z-12VDC-30A","[...]")</f>
        <v>[...]</v>
      </c>
      <c r="C147" s="16" t="s">
        <v>186</v>
      </c>
      <c r="D147" s="19" t="s">
        <v>205</v>
      </c>
      <c r="E147" s="6">
        <v>371.108352</v>
      </c>
      <c r="F147" s="16">
        <v>200</v>
      </c>
      <c r="G147" s="7">
        <v>110</v>
      </c>
      <c r="H147" s="8">
        <v>200</v>
      </c>
      <c r="I147" s="5">
        <v>10</v>
      </c>
      <c r="J147" s="21"/>
    </row>
    <row r="148" spans="2:10" ht="14.25">
      <c r="B148" s="41" t="str">
        <f>HYPERLINK("https://orele.ru/products/JQX-30F-2Z-240VAC-30A-T","[...]")</f>
        <v>[...]</v>
      </c>
      <c r="C148" s="16" t="s">
        <v>186</v>
      </c>
      <c r="D148" s="19" t="s">
        <v>255</v>
      </c>
      <c r="E148" s="6">
        <v>299.73523200000005</v>
      </c>
      <c r="F148" s="16" t="s">
        <v>330</v>
      </c>
      <c r="G148" s="7">
        <v>351</v>
      </c>
      <c r="H148" s="8">
        <v>200</v>
      </c>
      <c r="I148" s="5">
        <v>10</v>
      </c>
      <c r="J148" s="21"/>
    </row>
    <row r="149" spans="2:10" ht="14.25">
      <c r="B149" s="41" t="str">
        <f>HYPERLINK("https://orele.ru/products/JQX-30F-2Z-24VDC-30A-T","[...]")</f>
        <v>[...]</v>
      </c>
      <c r="C149" s="16" t="s">
        <v>186</v>
      </c>
      <c r="D149" s="19" t="s">
        <v>288</v>
      </c>
      <c r="E149" s="6">
        <v>299.73523200000005</v>
      </c>
      <c r="F149" s="16" t="s">
        <v>330</v>
      </c>
      <c r="G149" s="7">
        <v>177</v>
      </c>
      <c r="H149" s="8">
        <v>200</v>
      </c>
      <c r="I149" s="5">
        <v>10</v>
      </c>
      <c r="J149" s="21"/>
    </row>
    <row r="150" spans="2:10" ht="14.25" thickBot="1">
      <c r="B150" s="42" t="str">
        <f>HYPERLINK("https://orele.ru/products/JQX-38F-3Z-12VDC","[...]")</f>
        <v>[...]</v>
      </c>
      <c r="C150" s="17" t="s">
        <v>5</v>
      </c>
      <c r="D150" s="20" t="s">
        <v>99</v>
      </c>
      <c r="E150" s="12">
        <v>487.22917555199996</v>
      </c>
      <c r="F150" s="17" t="s">
        <v>330</v>
      </c>
      <c r="G150" s="13">
        <v>33</v>
      </c>
      <c r="H150" s="14">
        <v>100</v>
      </c>
      <c r="I150" s="11">
        <v>10</v>
      </c>
      <c r="J150" s="22"/>
    </row>
    <row r="151" spans="2:10" ht="14.25" thickTop="1">
      <c r="B151" s="43" t="str">
        <f>HYPERLINK("https://orele.ru/products/JQX-38F-3Z-240VAC","[...]")</f>
        <v>[...]</v>
      </c>
      <c r="C151" s="16" t="s">
        <v>186</v>
      </c>
      <c r="D151" s="19" t="s">
        <v>267</v>
      </c>
      <c r="E151" s="6">
        <v>576.452352</v>
      </c>
      <c r="F151" s="16" t="s">
        <v>330</v>
      </c>
      <c r="G151" s="7">
        <v>63</v>
      </c>
      <c r="H151" s="8">
        <v>100</v>
      </c>
      <c r="I151" s="5">
        <v>10</v>
      </c>
      <c r="J151" s="21"/>
    </row>
    <row r="152" spans="2:10" ht="14.25">
      <c r="B152" s="41" t="str">
        <f>HYPERLINK("https://orele.ru/products/JQX-38F-3Z-24VDC","[...]")</f>
        <v>[...]</v>
      </c>
      <c r="C152" s="16" t="s">
        <v>186</v>
      </c>
      <c r="D152" s="19" t="s">
        <v>268</v>
      </c>
      <c r="E152" s="6">
        <v>503.17318400000005</v>
      </c>
      <c r="F152" s="16">
        <v>100</v>
      </c>
      <c r="G152" s="7" t="s">
        <v>316</v>
      </c>
      <c r="H152" s="8">
        <v>100</v>
      </c>
      <c r="I152" s="5">
        <v>10</v>
      </c>
      <c r="J152" s="21"/>
    </row>
    <row r="153" spans="2:10" ht="14.25">
      <c r="B153" s="41" t="str">
        <f>HYPERLINK("https://orele.ru/products/JQX-38FS-3Z-240VAC","[...]")</f>
        <v>[...]</v>
      </c>
      <c r="C153" s="16" t="s">
        <v>186</v>
      </c>
      <c r="D153" s="19" t="s">
        <v>269</v>
      </c>
      <c r="E153" s="6">
        <v>576.452352</v>
      </c>
      <c r="F153" s="16" t="s">
        <v>330</v>
      </c>
      <c r="G153" s="7">
        <v>87</v>
      </c>
      <c r="H153" s="8">
        <v>100</v>
      </c>
      <c r="I153" s="5">
        <v>10</v>
      </c>
      <c r="J153" s="21"/>
    </row>
    <row r="154" spans="2:10" ht="14.25">
      <c r="B154" s="41" t="str">
        <f>HYPERLINK("https://orele.ru/products/JQX-40F-2Z-12VDC-40A","[...]")</f>
        <v>[...]</v>
      </c>
      <c r="C154" s="16" t="s">
        <v>186</v>
      </c>
      <c r="D154" s="19" t="s">
        <v>256</v>
      </c>
      <c r="E154" s="6">
        <v>592.8750719999999</v>
      </c>
      <c r="F154" s="16" t="s">
        <v>330</v>
      </c>
      <c r="G154" s="7">
        <v>46</v>
      </c>
      <c r="H154" s="8">
        <v>100</v>
      </c>
      <c r="I154" s="5">
        <v>10</v>
      </c>
      <c r="J154" s="21"/>
    </row>
    <row r="155" spans="2:10" ht="14.25">
      <c r="B155" s="41" t="str">
        <f>HYPERLINK("https://orele.ru/products/JQX-40F-2Z-240VAC-40A","[...]")</f>
        <v>[...]</v>
      </c>
      <c r="C155" s="16" t="s">
        <v>186</v>
      </c>
      <c r="D155" s="19" t="s">
        <v>257</v>
      </c>
      <c r="E155" s="6">
        <v>610.892544</v>
      </c>
      <c r="F155" s="16" t="s">
        <v>330</v>
      </c>
      <c r="G155" s="7">
        <v>90</v>
      </c>
      <c r="H155" s="8">
        <v>100</v>
      </c>
      <c r="I155" s="5">
        <v>10</v>
      </c>
      <c r="J155" s="21"/>
    </row>
    <row r="156" spans="2:10" ht="14.25" thickBot="1">
      <c r="B156" s="42" t="str">
        <f>HYPERLINK("https://orele.ru/products/JQX-40F-2Z-24VDC","[...]")</f>
        <v>[...]</v>
      </c>
      <c r="C156" s="17" t="s">
        <v>5</v>
      </c>
      <c r="D156" s="20" t="s">
        <v>10</v>
      </c>
      <c r="E156" s="12">
        <v>472.51293360972346</v>
      </c>
      <c r="F156" s="17" t="s">
        <v>330</v>
      </c>
      <c r="G156" s="13">
        <v>40</v>
      </c>
      <c r="H156" s="14">
        <v>100</v>
      </c>
      <c r="I156" s="11">
        <v>10</v>
      </c>
      <c r="J156" s="22"/>
    </row>
    <row r="157" spans="2:10" ht="14.25" thickTop="1">
      <c r="B157" s="43" t="str">
        <f>HYPERLINK("https://orele.ru/products/JQX-40F-2Z-24VDC-40A","[...]")</f>
        <v>[...]</v>
      </c>
      <c r="C157" s="16" t="s">
        <v>186</v>
      </c>
      <c r="D157" s="19" t="s">
        <v>289</v>
      </c>
      <c r="E157" s="6">
        <v>511.079424</v>
      </c>
      <c r="F157" s="16" t="s">
        <v>330</v>
      </c>
      <c r="G157" s="7">
        <v>100</v>
      </c>
      <c r="H157" s="8">
        <v>100</v>
      </c>
      <c r="I157" s="5">
        <v>10</v>
      </c>
      <c r="J157" s="21"/>
    </row>
    <row r="158" spans="2:10" ht="14.25">
      <c r="B158" s="41" t="str">
        <f>HYPERLINK("https://orele.ru/products/JQX-53F-3Z-24VAC","[...]")</f>
        <v>[...]</v>
      </c>
      <c r="C158" s="16" t="s">
        <v>5</v>
      </c>
      <c r="D158" s="19" t="s">
        <v>47</v>
      </c>
      <c r="E158" s="6">
        <v>443.99945077555196</v>
      </c>
      <c r="F158" s="16" t="s">
        <v>330</v>
      </c>
      <c r="G158" s="7">
        <v>4</v>
      </c>
      <c r="H158" s="8">
        <v>100</v>
      </c>
      <c r="I158" s="5">
        <v>20</v>
      </c>
      <c r="J158" s="21"/>
    </row>
    <row r="159" spans="2:10" ht="14.25">
      <c r="B159" s="41" t="str">
        <f>HYPERLINK("https://orele.ru/products/JQX-53FS-3Z-24VAC","[...]")</f>
        <v>[...]</v>
      </c>
      <c r="C159" s="16" t="s">
        <v>5</v>
      </c>
      <c r="D159" s="19" t="s">
        <v>48</v>
      </c>
      <c r="E159" s="6">
        <v>443.99945077555196</v>
      </c>
      <c r="F159" s="16" t="s">
        <v>330</v>
      </c>
      <c r="G159" s="7">
        <v>5</v>
      </c>
      <c r="H159" s="8">
        <v>100</v>
      </c>
      <c r="I159" s="5">
        <v>20</v>
      </c>
      <c r="J159" s="21"/>
    </row>
    <row r="160" spans="2:10" ht="14.25">
      <c r="B160" s="41" t="str">
        <f>HYPERLINK("https://orele.ru/products/JQX-60F-JQX-58F-1Z-12VDC-100A","[...]")</f>
        <v>[...]</v>
      </c>
      <c r="C160" s="16" t="s">
        <v>186</v>
      </c>
      <c r="D160" s="19" t="s">
        <v>221</v>
      </c>
      <c r="E160" s="6">
        <v>610.892544</v>
      </c>
      <c r="F160" s="16" t="s">
        <v>330</v>
      </c>
      <c r="G160" s="7">
        <v>229</v>
      </c>
      <c r="H160" s="8">
        <v>100</v>
      </c>
      <c r="I160" s="5">
        <v>10</v>
      </c>
      <c r="J160" s="21"/>
    </row>
    <row r="161" spans="2:10" ht="14.25">
      <c r="B161" s="41" t="str">
        <f>HYPERLINK("https://orele.ru/products/JQX-60F-JQX-58F-1Z-12VDC-60A","[...]")</f>
        <v>[...]</v>
      </c>
      <c r="C161" s="16" t="s">
        <v>186</v>
      </c>
      <c r="D161" s="19" t="s">
        <v>219</v>
      </c>
      <c r="E161" s="6">
        <v>397.029888</v>
      </c>
      <c r="F161" s="16">
        <v>500</v>
      </c>
      <c r="G161" s="7">
        <v>165</v>
      </c>
      <c r="H161" s="8">
        <v>100</v>
      </c>
      <c r="I161" s="5">
        <v>10</v>
      </c>
      <c r="J161" s="21"/>
    </row>
    <row r="162" spans="2:10" ht="14.25" thickBot="1">
      <c r="B162" s="42" t="str">
        <f>HYPERLINK("https://orele.ru/products/JQX-60F-JQX-58F-1Z-240VAC-60A","[...]")</f>
        <v>[...]</v>
      </c>
      <c r="C162" s="17" t="s">
        <v>186</v>
      </c>
      <c r="D162" s="20" t="s">
        <v>246</v>
      </c>
      <c r="E162" s="12">
        <v>423.09759999999994</v>
      </c>
      <c r="F162" s="17" t="s">
        <v>330</v>
      </c>
      <c r="G162" s="13">
        <v>88</v>
      </c>
      <c r="H162" s="14">
        <v>100</v>
      </c>
      <c r="I162" s="11">
        <v>10</v>
      </c>
      <c r="J162" s="22"/>
    </row>
    <row r="163" spans="2:10" ht="14.25" thickTop="1">
      <c r="B163" s="43" t="str">
        <f>HYPERLINK("https://orele.ru/products/JQX-60F-JQX-58F-1Z-24VDC-60A","[...]")</f>
        <v>[...]</v>
      </c>
      <c r="C163" s="16" t="s">
        <v>186</v>
      </c>
      <c r="D163" s="19" t="s">
        <v>220</v>
      </c>
      <c r="E163" s="6">
        <v>397.029888</v>
      </c>
      <c r="F163" s="16" t="s">
        <v>330</v>
      </c>
      <c r="G163" s="7">
        <v>80</v>
      </c>
      <c r="H163" s="8">
        <v>100</v>
      </c>
      <c r="I163" s="5">
        <v>10</v>
      </c>
      <c r="J163" s="21"/>
    </row>
    <row r="164" spans="2:10" ht="14.25">
      <c r="B164" s="41" t="str">
        <f>HYPERLINK("https://orele.ru/products/JQX-60F-1Z-24VDC","[...]")</f>
        <v>[...]</v>
      </c>
      <c r="C164" s="16" t="s">
        <v>5</v>
      </c>
      <c r="D164" s="19" t="s">
        <v>11</v>
      </c>
      <c r="E164" s="6">
        <v>470.6822480109996</v>
      </c>
      <c r="F164" s="16" t="s">
        <v>330</v>
      </c>
      <c r="G164" s="7">
        <v>54</v>
      </c>
      <c r="H164" s="8">
        <v>100</v>
      </c>
      <c r="I164" s="5">
        <v>10</v>
      </c>
      <c r="J164" s="21"/>
    </row>
    <row r="165" spans="2:10" ht="14.25">
      <c r="B165" s="41" t="str">
        <f>HYPERLINK("https://orele.ru/products/JQX-60F-A-1Z-12VDC-80A","[...]")</f>
        <v>[...]</v>
      </c>
      <c r="C165" s="16" t="s">
        <v>186</v>
      </c>
      <c r="D165" s="19" t="s">
        <v>222</v>
      </c>
      <c r="E165" s="6">
        <v>426.301376</v>
      </c>
      <c r="F165" s="16">
        <v>600</v>
      </c>
      <c r="G165" s="7" t="s">
        <v>316</v>
      </c>
      <c r="H165" s="8">
        <v>100</v>
      </c>
      <c r="I165" s="5">
        <v>10</v>
      </c>
      <c r="J165" s="21"/>
    </row>
    <row r="166" spans="2:10" ht="14.25">
      <c r="B166" s="41" t="str">
        <f>HYPERLINK("https://orele.ru/products/JQX-62F-1Z-12VDC-120A","[...]")</f>
        <v>[...]</v>
      </c>
      <c r="C166" s="16" t="s">
        <v>186</v>
      </c>
      <c r="D166" s="19" t="s">
        <v>322</v>
      </c>
      <c r="E166" s="6">
        <v>851.04384</v>
      </c>
      <c r="F166" s="16">
        <v>100</v>
      </c>
      <c r="G166" s="7" t="s">
        <v>316</v>
      </c>
      <c r="H166" s="8">
        <v>100</v>
      </c>
      <c r="I166" s="5">
        <v>1</v>
      </c>
      <c r="J166" s="21"/>
    </row>
    <row r="167" spans="2:10" ht="14.25">
      <c r="B167" s="41" t="str">
        <f>HYPERLINK("https://orele.ru/products/JQX-62F-1Z-220VAC-80A","[...]")</f>
        <v>[...]</v>
      </c>
      <c r="C167" s="16" t="s">
        <v>5</v>
      </c>
      <c r="D167" s="19" t="s">
        <v>163</v>
      </c>
      <c r="E167" s="6">
        <v>872.4943360000001</v>
      </c>
      <c r="F167" s="16" t="s">
        <v>330</v>
      </c>
      <c r="G167" s="7">
        <v>28</v>
      </c>
      <c r="H167" s="8">
        <v>72</v>
      </c>
      <c r="I167" s="5">
        <v>1</v>
      </c>
      <c r="J167" s="21"/>
    </row>
    <row r="168" spans="2:10" ht="14.25" thickBot="1">
      <c r="B168" s="42" t="str">
        <f>HYPERLINK("https://orele.ru/products/JQX-62F-2Z-12VDC-80A","[...]")</f>
        <v>[...]</v>
      </c>
      <c r="C168" s="17" t="s">
        <v>5</v>
      </c>
      <c r="D168" s="20" t="s">
        <v>100</v>
      </c>
      <c r="E168" s="12">
        <v>1219.8438855680001</v>
      </c>
      <c r="F168" s="17" t="s">
        <v>330</v>
      </c>
      <c r="G168" s="13">
        <v>40</v>
      </c>
      <c r="H168" s="14">
        <v>72</v>
      </c>
      <c r="I168" s="11">
        <v>1</v>
      </c>
      <c r="J168" s="22"/>
    </row>
    <row r="169" spans="2:10" ht="14.25" thickTop="1">
      <c r="B169" s="43" t="str">
        <f>HYPERLINK("https://orele.ru/products/JQX-62F-2Z-220VAC-80A","[...]")</f>
        <v>[...]</v>
      </c>
      <c r="C169" s="16" t="s">
        <v>5</v>
      </c>
      <c r="D169" s="19" t="s">
        <v>44</v>
      </c>
      <c r="E169" s="6">
        <v>1258.9273088000002</v>
      </c>
      <c r="F169" s="16">
        <v>100</v>
      </c>
      <c r="G169" s="7">
        <v>6</v>
      </c>
      <c r="H169" s="8">
        <v>36</v>
      </c>
      <c r="I169" s="5">
        <v>2</v>
      </c>
      <c r="J169" s="21"/>
    </row>
    <row r="170" spans="2:10" ht="14.25">
      <c r="B170" s="41" t="str">
        <f>HYPERLINK("https://orele.ru/products/JQX-62F-2Z-24VDC-80A","[...]")</f>
        <v>[...]</v>
      </c>
      <c r="C170" s="16" t="s">
        <v>186</v>
      </c>
      <c r="D170" s="19" t="s">
        <v>101</v>
      </c>
      <c r="E170" s="6">
        <v>859.5457919999999</v>
      </c>
      <c r="F170" s="16">
        <v>200</v>
      </c>
      <c r="G170" s="7" t="s">
        <v>316</v>
      </c>
      <c r="H170" s="8">
        <v>100</v>
      </c>
      <c r="I170" s="5">
        <v>1</v>
      </c>
      <c r="J170" s="21"/>
    </row>
    <row r="171" spans="2:10" ht="14.25">
      <c r="B171" s="41" t="str">
        <f>HYPERLINK("https://orele.ru/products/JQX-62FH-1Z-12VDC-120A","[...]")</f>
        <v>[...]</v>
      </c>
      <c r="C171" s="16" t="s">
        <v>186</v>
      </c>
      <c r="D171" s="19" t="s">
        <v>213</v>
      </c>
      <c r="E171" s="6">
        <v>858.156544</v>
      </c>
      <c r="F171" s="16">
        <v>200</v>
      </c>
      <c r="G171" s="7">
        <v>72</v>
      </c>
      <c r="H171" s="8">
        <v>100</v>
      </c>
      <c r="I171" s="5">
        <v>1</v>
      </c>
      <c r="J171" s="21"/>
    </row>
    <row r="172" spans="2:10" ht="14.25">
      <c r="B172" s="41" t="str">
        <f>HYPERLINK("https://orele.ru/products/JQX-80F-JQX-59F-1Z-12VDC-120A","[...]")</f>
        <v>[...]</v>
      </c>
      <c r="C172" s="16" t="s">
        <v>186</v>
      </c>
      <c r="D172" s="19" t="s">
        <v>314</v>
      </c>
      <c r="E172" s="6">
        <v>628.6085760000001</v>
      </c>
      <c r="F172" s="16">
        <v>200</v>
      </c>
      <c r="G172" s="7" t="s">
        <v>316</v>
      </c>
      <c r="H172" s="8">
        <v>100</v>
      </c>
      <c r="I172" s="5">
        <v>1</v>
      </c>
      <c r="J172" s="21"/>
    </row>
    <row r="173" spans="2:10" ht="14.25">
      <c r="B173" s="41" t="str">
        <f>HYPERLINK("https://orele.ru/products/JQX-80F-JQX-59F-S-2Z-12VDC-80A","[...]")</f>
        <v>[...]</v>
      </c>
      <c r="C173" s="16" t="s">
        <v>186</v>
      </c>
      <c r="D173" s="19" t="s">
        <v>315</v>
      </c>
      <c r="E173" s="6">
        <v>891.787456</v>
      </c>
      <c r="F173" s="16" t="s">
        <v>330</v>
      </c>
      <c r="G173" s="7">
        <v>42</v>
      </c>
      <c r="H173" s="8">
        <v>100</v>
      </c>
      <c r="I173" s="5">
        <v>1</v>
      </c>
      <c r="J173" s="21"/>
    </row>
    <row r="174" spans="2:10" ht="14.25" thickBot="1">
      <c r="B174" s="42" t="str">
        <f>HYPERLINK("https://orele.ru/products/JQX-82F-1Z-12VDC-150A","[...]")</f>
        <v>[...]</v>
      </c>
      <c r="C174" s="17" t="s">
        <v>5</v>
      </c>
      <c r="D174" s="20" t="s">
        <v>12</v>
      </c>
      <c r="E174" s="12">
        <v>2027.816406784</v>
      </c>
      <c r="F174" s="17" t="s">
        <v>330</v>
      </c>
      <c r="G174" s="13">
        <v>25</v>
      </c>
      <c r="H174" s="14">
        <v>36</v>
      </c>
      <c r="I174" s="11">
        <v>1</v>
      </c>
      <c r="J174" s="22"/>
    </row>
    <row r="175" spans="2:10" ht="14.25" thickTop="1">
      <c r="B175" s="43" t="str">
        <f>HYPERLINK("https://orele.ru/products/JRC-19F-4078-12VDC-0-2","[...]")</f>
        <v>[...]</v>
      </c>
      <c r="C175" s="16" t="s">
        <v>186</v>
      </c>
      <c r="D175" s="19" t="s">
        <v>192</v>
      </c>
      <c r="E175" s="6">
        <v>34.61696528</v>
      </c>
      <c r="F175" s="16" t="s">
        <v>330</v>
      </c>
      <c r="G175" s="7" t="s">
        <v>118</v>
      </c>
      <c r="H175" s="8">
        <v>2000</v>
      </c>
      <c r="I175" s="5">
        <v>25</v>
      </c>
      <c r="J175" s="21"/>
    </row>
    <row r="176" spans="2:10" ht="14.25">
      <c r="B176" s="41" t="str">
        <f>HYPERLINK("https://orele.ru/products/JRC-19F-4078-24VDC-0-2","[...]")</f>
        <v>[...]</v>
      </c>
      <c r="C176" s="16" t="s">
        <v>186</v>
      </c>
      <c r="D176" s="19" t="s">
        <v>247</v>
      </c>
      <c r="E176" s="6">
        <v>39.218642079999995</v>
      </c>
      <c r="F176" s="16" t="s">
        <v>330</v>
      </c>
      <c r="G176" s="7" t="s">
        <v>118</v>
      </c>
      <c r="H176" s="8">
        <v>2000</v>
      </c>
      <c r="I176" s="5">
        <v>25</v>
      </c>
      <c r="J176" s="21"/>
    </row>
    <row r="177" spans="2:10" ht="14.25">
      <c r="B177" s="41" t="str">
        <f>HYPERLINK("https://orele.ru/products/JRC-19F-4078-5VDC-0-2","[...]")</f>
        <v>[...]</v>
      </c>
      <c r="C177" s="16" t="s">
        <v>186</v>
      </c>
      <c r="D177" s="19" t="s">
        <v>193</v>
      </c>
      <c r="E177" s="6">
        <v>47.163712</v>
      </c>
      <c r="F177" s="16" t="s">
        <v>330</v>
      </c>
      <c r="G177" s="7" t="s">
        <v>118</v>
      </c>
      <c r="H177" s="8">
        <v>2000</v>
      </c>
      <c r="I177" s="5">
        <v>25</v>
      </c>
      <c r="J177" s="21"/>
    </row>
    <row r="178" spans="2:10" ht="14.25">
      <c r="B178" s="41" t="str">
        <f>HYPERLINK("https://orele.ru/products/JRC-21F-4100-12VDC-0-2","[...]")</f>
        <v>[...]</v>
      </c>
      <c r="C178" s="16" t="s">
        <v>186</v>
      </c>
      <c r="D178" s="19" t="s">
        <v>194</v>
      </c>
      <c r="E178" s="6">
        <v>20.801472000000004</v>
      </c>
      <c r="F178" s="16" t="s">
        <v>118</v>
      </c>
      <c r="G178" s="7" t="s">
        <v>118</v>
      </c>
      <c r="H178" s="8">
        <v>1000</v>
      </c>
      <c r="I178" s="5">
        <v>25</v>
      </c>
      <c r="J178" s="21"/>
    </row>
    <row r="179" spans="2:10" ht="14.25">
      <c r="B179" s="41" t="str">
        <f>HYPERLINK("https://orele.ru/products/JRC-21F-4100-24VDC-0-2","[...]")</f>
        <v>[...]</v>
      </c>
      <c r="C179" s="16" t="s">
        <v>186</v>
      </c>
      <c r="D179" s="19" t="s">
        <v>195</v>
      </c>
      <c r="E179" s="6">
        <v>26.315008000000002</v>
      </c>
      <c r="F179" s="16" t="s">
        <v>330</v>
      </c>
      <c r="G179" s="7" t="s">
        <v>118</v>
      </c>
      <c r="H179" s="8">
        <v>1000</v>
      </c>
      <c r="I179" s="5">
        <v>25</v>
      </c>
      <c r="J179" s="21"/>
    </row>
    <row r="180" spans="2:10" ht="14.25" thickBot="1">
      <c r="B180" s="42" t="str">
        <f>HYPERLINK("https://orele.ru/products/JRC-21F-4100-5VDC-0-2","[...]")</f>
        <v>[...]</v>
      </c>
      <c r="C180" s="17" t="s">
        <v>186</v>
      </c>
      <c r="D180" s="20" t="s">
        <v>196</v>
      </c>
      <c r="E180" s="12">
        <v>24.74256964</v>
      </c>
      <c r="F180" s="17" t="s">
        <v>330</v>
      </c>
      <c r="G180" s="13" t="s">
        <v>118</v>
      </c>
      <c r="H180" s="14">
        <v>1000</v>
      </c>
      <c r="I180" s="11">
        <v>25</v>
      </c>
      <c r="J180" s="22"/>
    </row>
    <row r="181" spans="2:10" ht="14.25" thickTop="1">
      <c r="B181" s="43" t="str">
        <f>HYPERLINK("https://orele.ru/products/JRC-23F-12VDC-S-0-2","[...]")</f>
        <v>[...]</v>
      </c>
      <c r="C181" s="16" t="s">
        <v>186</v>
      </c>
      <c r="D181" s="19" t="s">
        <v>223</v>
      </c>
      <c r="E181" s="6">
        <v>30.191551999999994</v>
      </c>
      <c r="F181" s="16" t="s">
        <v>118</v>
      </c>
      <c r="G181" s="7" t="s">
        <v>118</v>
      </c>
      <c r="H181" s="8">
        <v>2000</v>
      </c>
      <c r="I181" s="5">
        <v>25</v>
      </c>
      <c r="J181" s="21"/>
    </row>
    <row r="182" spans="2:10" ht="14.25">
      <c r="B182" s="41" t="str">
        <f>HYPERLINK("https://orele.ru/products/JRC-23F-24VDC-S-0-2","[...]")</f>
        <v>[...]</v>
      </c>
      <c r="C182" s="16" t="s">
        <v>186</v>
      </c>
      <c r="D182" s="19" t="s">
        <v>224</v>
      </c>
      <c r="E182" s="6">
        <v>31.482432</v>
      </c>
      <c r="F182" s="16" t="s">
        <v>330</v>
      </c>
      <c r="G182" s="7" t="s">
        <v>118</v>
      </c>
      <c r="H182" s="8">
        <v>2000</v>
      </c>
      <c r="I182" s="5">
        <v>25</v>
      </c>
      <c r="J182" s="21"/>
    </row>
    <row r="183" spans="2:10" ht="14.25">
      <c r="B183" s="41" t="str">
        <f>HYPERLINK("https://orele.ru/products/JRC-23F-5VDC-S-0-15","[...]")</f>
        <v>[...]</v>
      </c>
      <c r="C183" s="16" t="s">
        <v>186</v>
      </c>
      <c r="D183" s="19" t="s">
        <v>311</v>
      </c>
      <c r="E183" s="6">
        <v>29.028288000000007</v>
      </c>
      <c r="F183" s="16" t="s">
        <v>118</v>
      </c>
      <c r="G183" s="7" t="s">
        <v>118</v>
      </c>
      <c r="H183" s="8">
        <v>2000</v>
      </c>
      <c r="I183" s="5">
        <v>25</v>
      </c>
      <c r="J183" s="21"/>
    </row>
    <row r="184" spans="2:10" ht="14.25">
      <c r="B184" s="41" t="str">
        <f>HYPERLINK("https://orele.ru/products/JZC-32F-C-S-5-DC12V-0-45","[...]")</f>
        <v>[...]</v>
      </c>
      <c r="C184" s="16" t="s">
        <v>13</v>
      </c>
      <c r="D184" s="19" t="s">
        <v>148</v>
      </c>
      <c r="E184" s="6">
        <v>49.357270760000006</v>
      </c>
      <c r="F184" s="16" t="s">
        <v>118</v>
      </c>
      <c r="G184" s="7">
        <v>838</v>
      </c>
      <c r="H184" s="8">
        <v>1000</v>
      </c>
      <c r="I184" s="5">
        <v>25</v>
      </c>
      <c r="J184" s="21"/>
    </row>
    <row r="185" spans="2:10" ht="14.25">
      <c r="B185" s="41" t="str">
        <f>HYPERLINK("https://orele.ru/products/JZC-32F-C-S-5-DC24V-0-45","[...]")</f>
        <v>[...]</v>
      </c>
      <c r="C185" s="16" t="s">
        <v>13</v>
      </c>
      <c r="D185" s="19" t="s">
        <v>149</v>
      </c>
      <c r="E185" s="6">
        <v>49.10075090528</v>
      </c>
      <c r="F185" s="16" t="s">
        <v>330</v>
      </c>
      <c r="G185" s="7">
        <v>685</v>
      </c>
      <c r="H185" s="8">
        <v>1000</v>
      </c>
      <c r="I185" s="5">
        <v>25</v>
      </c>
      <c r="J185" s="21"/>
    </row>
    <row r="186" spans="2:10" ht="14.25" thickBot="1">
      <c r="B186" s="42" t="str">
        <f>HYPERLINK("https://orele.ru/products/JZC-32F-C-S-5-DC5V-0-45","[...]")</f>
        <v>[...]</v>
      </c>
      <c r="C186" s="17" t="s">
        <v>13</v>
      </c>
      <c r="D186" s="20" t="s">
        <v>178</v>
      </c>
      <c r="E186" s="12">
        <v>49.626751999999996</v>
      </c>
      <c r="F186" s="17" t="s">
        <v>118</v>
      </c>
      <c r="G186" s="13" t="s">
        <v>316</v>
      </c>
      <c r="H186" s="14">
        <v>1000</v>
      </c>
      <c r="I186" s="11">
        <v>25</v>
      </c>
      <c r="J186" s="22"/>
    </row>
    <row r="187" spans="2:10" ht="14.25" thickTop="1">
      <c r="B187" s="43" t="str">
        <f>HYPERLINK("https://orele.ru/products/JZC-33F-C-S-5-DC12V-0-45","[...]")</f>
        <v>[...]</v>
      </c>
      <c r="C187" s="16" t="s">
        <v>13</v>
      </c>
      <c r="D187" s="19" t="s">
        <v>150</v>
      </c>
      <c r="E187" s="6">
        <v>55.468928</v>
      </c>
      <c r="F187" s="16" t="s">
        <v>118</v>
      </c>
      <c r="G187" s="7" t="s">
        <v>316</v>
      </c>
      <c r="H187" s="8">
        <v>1000</v>
      </c>
      <c r="I187" s="5">
        <v>25</v>
      </c>
      <c r="J187" s="21"/>
    </row>
    <row r="188" spans="2:10" ht="14.25">
      <c r="B188" s="41" t="str">
        <f>HYPERLINK("https://orele.ru/products/JZC-33F-C-S-5-DC24V-0-45","[...]")</f>
        <v>[...]</v>
      </c>
      <c r="C188" s="16" t="s">
        <v>13</v>
      </c>
      <c r="D188" s="19" t="s">
        <v>151</v>
      </c>
      <c r="E188" s="6">
        <v>50.6045824</v>
      </c>
      <c r="F188" s="16" t="s">
        <v>330</v>
      </c>
      <c r="G188" s="7" t="s">
        <v>118</v>
      </c>
      <c r="H188" s="8">
        <v>1000</v>
      </c>
      <c r="I188" s="5">
        <v>25</v>
      </c>
      <c r="J188" s="21"/>
    </row>
    <row r="189" spans="2:10" ht="14.25">
      <c r="B189" s="41" t="str">
        <f>HYPERLINK("https://orele.ru/products/JZC-33F-C-S-5-DC5V-0-45","[...]")</f>
        <v>[...]</v>
      </c>
      <c r="C189" s="16" t="s">
        <v>13</v>
      </c>
      <c r="D189" s="19" t="s">
        <v>152</v>
      </c>
      <c r="E189" s="6">
        <v>49.74331063648</v>
      </c>
      <c r="F189" s="16" t="s">
        <v>330</v>
      </c>
      <c r="G189" s="7" t="s">
        <v>118</v>
      </c>
      <c r="H189" s="8">
        <v>1000</v>
      </c>
      <c r="I189" s="5">
        <v>25</v>
      </c>
      <c r="J189" s="21"/>
    </row>
    <row r="190" spans="2:10" ht="14.25">
      <c r="B190" s="41" t="str">
        <f>HYPERLINK("https://orele.ru/products/JZX-18FH-4Z-12VDC-L","[...]")</f>
        <v>[...]</v>
      </c>
      <c r="C190" s="16" t="s">
        <v>186</v>
      </c>
      <c r="D190" s="19" t="s">
        <v>298</v>
      </c>
      <c r="E190" s="6">
        <v>141.814848</v>
      </c>
      <c r="F190" s="16" t="s">
        <v>330</v>
      </c>
      <c r="G190" s="7">
        <v>490</v>
      </c>
      <c r="H190" s="8">
        <v>500</v>
      </c>
      <c r="I190" s="5">
        <v>20</v>
      </c>
      <c r="J190" s="21"/>
    </row>
    <row r="191" spans="2:10" ht="14.25">
      <c r="B191" s="41" t="str">
        <f>HYPERLINK("https://orele.ru/products/JZX-18FH-4Z-240VAC","[...]")</f>
        <v>[...]</v>
      </c>
      <c r="C191" s="16" t="s">
        <v>186</v>
      </c>
      <c r="D191" s="19" t="s">
        <v>270</v>
      </c>
      <c r="E191" s="6">
        <v>145.616192</v>
      </c>
      <c r="F191" s="16" t="s">
        <v>330</v>
      </c>
      <c r="G191" s="7">
        <v>215</v>
      </c>
      <c r="H191" s="8">
        <v>500</v>
      </c>
      <c r="I191" s="5">
        <v>20</v>
      </c>
      <c r="J191" s="21"/>
    </row>
    <row r="192" spans="2:10" ht="14.25" thickBot="1">
      <c r="B192" s="42" t="str">
        <f>HYPERLINK("https://orele.ru/products/JZX-18FH-4Z-240VAC-L","[...]")</f>
        <v>[...]</v>
      </c>
      <c r="C192" s="17" t="s">
        <v>186</v>
      </c>
      <c r="D192" s="20" t="s">
        <v>338</v>
      </c>
      <c r="E192" s="12">
        <v>135.977792</v>
      </c>
      <c r="F192" s="17" t="s">
        <v>118</v>
      </c>
      <c r="G192" s="13" t="s">
        <v>316</v>
      </c>
      <c r="H192" s="14">
        <v>500</v>
      </c>
      <c r="I192" s="11">
        <v>20</v>
      </c>
      <c r="J192" s="22"/>
    </row>
    <row r="193" spans="2:10" ht="14.25" thickTop="1">
      <c r="B193" s="43" t="str">
        <f>HYPERLINK("https://orele.ru/products/JZX-18FH-4Z-24VAC","[...]")</f>
        <v>[...]</v>
      </c>
      <c r="C193" s="16" t="s">
        <v>186</v>
      </c>
      <c r="D193" s="19" t="s">
        <v>271</v>
      </c>
      <c r="E193" s="6">
        <v>157.42752000000002</v>
      </c>
      <c r="F193" s="16" t="s">
        <v>330</v>
      </c>
      <c r="G193" s="7">
        <v>235</v>
      </c>
      <c r="H193" s="8">
        <v>500</v>
      </c>
      <c r="I193" s="5">
        <v>20</v>
      </c>
      <c r="J193" s="21"/>
    </row>
    <row r="194" spans="2:10" ht="14.25">
      <c r="B194" s="41" t="str">
        <f>HYPERLINK("https://orele.ru/products/JZX-18FH-4Z-24VAC-L","[...]")</f>
        <v>[...]</v>
      </c>
      <c r="C194" s="16" t="s">
        <v>186</v>
      </c>
      <c r="D194" s="19" t="s">
        <v>339</v>
      </c>
      <c r="E194" s="6">
        <v>135.977792</v>
      </c>
      <c r="F194" s="16">
        <v>500</v>
      </c>
      <c r="G194" s="7" t="s">
        <v>316</v>
      </c>
      <c r="H194" s="8">
        <v>500</v>
      </c>
      <c r="I194" s="5">
        <v>20</v>
      </c>
      <c r="J194" s="21"/>
    </row>
    <row r="195" spans="2:10" ht="14.25">
      <c r="B195" s="41" t="str">
        <f>HYPERLINK("https://orele.ru/products/JZX-18FH-4Z-24VDC","[...]")</f>
        <v>[...]</v>
      </c>
      <c r="C195" s="16" t="s">
        <v>186</v>
      </c>
      <c r="D195" s="19" t="s">
        <v>272</v>
      </c>
      <c r="E195" s="6">
        <v>145.616192</v>
      </c>
      <c r="F195" s="16" t="s">
        <v>330</v>
      </c>
      <c r="G195" s="7">
        <v>322</v>
      </c>
      <c r="H195" s="8">
        <v>500</v>
      </c>
      <c r="I195" s="5">
        <v>20</v>
      </c>
      <c r="J195" s="21"/>
    </row>
    <row r="196" spans="2:10" ht="14.25">
      <c r="B196" s="41" t="str">
        <f>HYPERLINK("https://orele.ru/products/JZX-18FH-4Z-24VDC-L","[...]")</f>
        <v>[...]</v>
      </c>
      <c r="C196" s="16" t="s">
        <v>186</v>
      </c>
      <c r="D196" s="19" t="s">
        <v>340</v>
      </c>
      <c r="E196" s="6">
        <v>135.977792</v>
      </c>
      <c r="F196" s="16" t="s">
        <v>118</v>
      </c>
      <c r="G196" s="7" t="s">
        <v>316</v>
      </c>
      <c r="H196" s="8">
        <v>500</v>
      </c>
      <c r="I196" s="5">
        <v>20</v>
      </c>
      <c r="J196" s="21"/>
    </row>
    <row r="197" spans="2:10" ht="14.25">
      <c r="B197" s="41" t="str">
        <f>HYPERLINK("https://orele.ru/products/LY1-12VDC","[...]")</f>
        <v>[...]</v>
      </c>
      <c r="C197" s="16" t="s">
        <v>186</v>
      </c>
      <c r="D197" s="19" t="s">
        <v>225</v>
      </c>
      <c r="E197" s="6">
        <v>125.95776344000001</v>
      </c>
      <c r="F197" s="16" t="s">
        <v>330</v>
      </c>
      <c r="G197" s="7">
        <v>400</v>
      </c>
      <c r="H197" s="8">
        <v>500</v>
      </c>
      <c r="I197" s="5">
        <v>25</v>
      </c>
      <c r="J197" s="21"/>
    </row>
    <row r="198" spans="2:10" ht="14.25" thickBot="1">
      <c r="B198" s="42" t="str">
        <f>HYPERLINK("https://orele.ru/products/LY1-240VAC","[...]")</f>
        <v>[...]</v>
      </c>
      <c r="C198" s="17" t="s">
        <v>186</v>
      </c>
      <c r="D198" s="20" t="s">
        <v>307</v>
      </c>
      <c r="E198" s="12">
        <v>109.83219200000002</v>
      </c>
      <c r="F198" s="17" t="s">
        <v>330</v>
      </c>
      <c r="G198" s="13">
        <v>475</v>
      </c>
      <c r="H198" s="14">
        <v>500</v>
      </c>
      <c r="I198" s="11">
        <v>25</v>
      </c>
      <c r="J198" s="22"/>
    </row>
    <row r="199" spans="2:10" ht="14.25" thickTop="1">
      <c r="B199" s="43" t="str">
        <f>HYPERLINK("https://orele.ru/products/LY1-24VDC","[...]")</f>
        <v>[...]</v>
      </c>
      <c r="C199" s="16" t="s">
        <v>186</v>
      </c>
      <c r="D199" s="19" t="s">
        <v>306</v>
      </c>
      <c r="E199" s="6">
        <v>109.83219200000002</v>
      </c>
      <c r="F199" s="16" t="s">
        <v>330</v>
      </c>
      <c r="G199" s="7">
        <v>500</v>
      </c>
      <c r="H199" s="8">
        <v>500</v>
      </c>
      <c r="I199" s="5">
        <v>25</v>
      </c>
      <c r="J199" s="21"/>
    </row>
    <row r="200" spans="2:10" ht="14.25">
      <c r="B200" s="41" t="str">
        <f>HYPERLINK("https://orele.ru/products/LY2-12VDC","[...]")</f>
        <v>[...]</v>
      </c>
      <c r="C200" s="16" t="s">
        <v>186</v>
      </c>
      <c r="D200" s="19" t="s">
        <v>214</v>
      </c>
      <c r="E200" s="6">
        <v>125.95776344000001</v>
      </c>
      <c r="F200" s="16" t="s">
        <v>330</v>
      </c>
      <c r="G200" s="7">
        <v>165</v>
      </c>
      <c r="H200" s="8">
        <v>500</v>
      </c>
      <c r="I200" s="5">
        <v>25</v>
      </c>
      <c r="J200" s="21"/>
    </row>
    <row r="201" spans="2:10" ht="14.25">
      <c r="B201" s="41" t="str">
        <f>HYPERLINK("https://orele.ru/products/LY2-240VAC","[...]")</f>
        <v>[...]</v>
      </c>
      <c r="C201" s="16" t="s">
        <v>186</v>
      </c>
      <c r="D201" s="19" t="s">
        <v>290</v>
      </c>
      <c r="E201" s="6">
        <v>107.20505599999998</v>
      </c>
      <c r="F201" s="16" t="s">
        <v>330</v>
      </c>
      <c r="G201" s="7">
        <v>325</v>
      </c>
      <c r="H201" s="8">
        <v>500</v>
      </c>
      <c r="I201" s="5">
        <v>25</v>
      </c>
      <c r="J201" s="21"/>
    </row>
    <row r="202" spans="2:10" ht="14.25">
      <c r="B202" s="41" t="str">
        <f>HYPERLINK("https://orele.ru/products/LY2-24VDC","[...]")</f>
        <v>[...]</v>
      </c>
      <c r="C202" s="16" t="s">
        <v>186</v>
      </c>
      <c r="D202" s="19" t="s">
        <v>291</v>
      </c>
      <c r="E202" s="6">
        <v>107.20505599999998</v>
      </c>
      <c r="F202" s="16">
        <v>500</v>
      </c>
      <c r="G202" s="7">
        <v>130</v>
      </c>
      <c r="H202" s="8">
        <v>500</v>
      </c>
      <c r="I202" s="5">
        <v>25</v>
      </c>
      <c r="J202" s="21"/>
    </row>
    <row r="203" spans="2:10" ht="14.25">
      <c r="B203" s="41" t="str">
        <f>HYPERLINK("https://orele.ru/products/LY2N-12VDC","[...]")</f>
        <v>[...]</v>
      </c>
      <c r="C203" s="16" t="s">
        <v>186</v>
      </c>
      <c r="D203" s="19" t="s">
        <v>321</v>
      </c>
      <c r="E203" s="6">
        <v>112.44038400000001</v>
      </c>
      <c r="F203" s="16">
        <v>500</v>
      </c>
      <c r="G203" s="7" t="s">
        <v>316</v>
      </c>
      <c r="H203" s="8">
        <v>500</v>
      </c>
      <c r="I203" s="5">
        <v>25</v>
      </c>
      <c r="J203" s="21"/>
    </row>
    <row r="204" spans="2:10" ht="14.25" thickBot="1">
      <c r="B204" s="42" t="str">
        <f>HYPERLINK("https://orele.ru/products/LY2NB-12VDC","[...]")</f>
        <v>[...]</v>
      </c>
      <c r="C204" s="17" t="s">
        <v>186</v>
      </c>
      <c r="D204" s="20" t="s">
        <v>323</v>
      </c>
      <c r="E204" s="12">
        <v>119.50175999999999</v>
      </c>
      <c r="F204" s="17">
        <v>500</v>
      </c>
      <c r="G204" s="13" t="s">
        <v>316</v>
      </c>
      <c r="H204" s="14">
        <v>500</v>
      </c>
      <c r="I204" s="11">
        <v>25</v>
      </c>
      <c r="J204" s="22"/>
    </row>
    <row r="205" spans="2:10" ht="14.25" thickTop="1">
      <c r="B205" s="43" t="str">
        <f>HYPERLINK("https://orele.ru/products/LY3-12VDC","[...]")</f>
        <v>[...]</v>
      </c>
      <c r="C205" s="16" t="s">
        <v>186</v>
      </c>
      <c r="D205" s="19" t="s">
        <v>215</v>
      </c>
      <c r="E205" s="6">
        <v>236.350144</v>
      </c>
      <c r="F205" s="16" t="s">
        <v>330</v>
      </c>
      <c r="G205" s="7">
        <v>284</v>
      </c>
      <c r="H205" s="8">
        <v>300</v>
      </c>
      <c r="I205" s="5">
        <v>20</v>
      </c>
      <c r="J205" s="21"/>
    </row>
    <row r="206" spans="2:10" ht="14.25">
      <c r="B206" s="41" t="str">
        <f>HYPERLINK("https://orele.ru/products/LY3-240VAC","[...]")</f>
        <v>[...]</v>
      </c>
      <c r="C206" s="16" t="s">
        <v>186</v>
      </c>
      <c r="D206" s="19" t="s">
        <v>248</v>
      </c>
      <c r="E206" s="6">
        <v>218.617472</v>
      </c>
      <c r="F206" s="16" t="s">
        <v>330</v>
      </c>
      <c r="G206" s="7">
        <v>300</v>
      </c>
      <c r="H206" s="8">
        <v>300</v>
      </c>
      <c r="I206" s="5">
        <v>20</v>
      </c>
      <c r="J206" s="21"/>
    </row>
    <row r="207" spans="2:10" ht="14.25">
      <c r="B207" s="41" t="str">
        <f>HYPERLINK("https://orele.ru/products/LY3-24VDC","[...]")</f>
        <v>[...]</v>
      </c>
      <c r="C207" s="16" t="s">
        <v>186</v>
      </c>
      <c r="D207" s="19" t="s">
        <v>249</v>
      </c>
      <c r="E207" s="6">
        <v>197.3370232195122</v>
      </c>
      <c r="F207" s="16" t="s">
        <v>330</v>
      </c>
      <c r="G207" s="7">
        <v>298</v>
      </c>
      <c r="H207" s="8">
        <v>300</v>
      </c>
      <c r="I207" s="5">
        <v>20</v>
      </c>
      <c r="J207" s="21"/>
    </row>
    <row r="208" spans="2:10" ht="14.25">
      <c r="B208" s="41" t="str">
        <f>HYPERLINK("https://orele.ru/products/LY4-12VDC","[...]")</f>
        <v>[...]</v>
      </c>
      <c r="C208" s="16" t="s">
        <v>186</v>
      </c>
      <c r="D208" s="19" t="s">
        <v>216</v>
      </c>
      <c r="E208" s="6">
        <v>248.11372799999998</v>
      </c>
      <c r="F208" s="16" t="s">
        <v>330</v>
      </c>
      <c r="G208" s="7">
        <v>248</v>
      </c>
      <c r="H208" s="8">
        <v>300</v>
      </c>
      <c r="I208" s="5">
        <v>20</v>
      </c>
      <c r="J208" s="21"/>
    </row>
    <row r="209" spans="2:10" ht="14.25">
      <c r="B209" s="41" t="str">
        <f>HYPERLINK("https://orele.ru/products/LY4-240VAC","[...]")</f>
        <v>[...]</v>
      </c>
      <c r="C209" s="16" t="s">
        <v>186</v>
      </c>
      <c r="D209" s="19" t="s">
        <v>250</v>
      </c>
      <c r="E209" s="6">
        <v>229.56384000000003</v>
      </c>
      <c r="F209" s="16" t="s">
        <v>330</v>
      </c>
      <c r="G209" s="7">
        <v>245</v>
      </c>
      <c r="H209" s="8">
        <v>300</v>
      </c>
      <c r="I209" s="5">
        <v>20</v>
      </c>
      <c r="J209" s="21"/>
    </row>
    <row r="210" spans="2:10" ht="14.25" thickBot="1">
      <c r="B210" s="42" t="str">
        <f>HYPERLINK("https://orele.ru/products/LY4-24VDC","[...]")</f>
        <v>[...]</v>
      </c>
      <c r="C210" s="17" t="s">
        <v>186</v>
      </c>
      <c r="D210" s="20" t="s">
        <v>251</v>
      </c>
      <c r="E210" s="12">
        <v>229.56384000000003</v>
      </c>
      <c r="F210" s="17" t="s">
        <v>330</v>
      </c>
      <c r="G210" s="13">
        <v>210</v>
      </c>
      <c r="H210" s="14">
        <v>300</v>
      </c>
      <c r="I210" s="11">
        <v>20</v>
      </c>
      <c r="J210" s="22"/>
    </row>
    <row r="211" spans="2:10" ht="14.25" thickTop="1">
      <c r="B211" s="43" t="str">
        <f>HYPERLINK("https://orele.ru/products/MK3P5-I-24VDC","[...]")</f>
        <v>[...]</v>
      </c>
      <c r="C211" s="16" t="s">
        <v>186</v>
      </c>
      <c r="D211" s="19" t="s">
        <v>258</v>
      </c>
      <c r="E211" s="6">
        <v>247.69068800000002</v>
      </c>
      <c r="F211" s="16" t="s">
        <v>330</v>
      </c>
      <c r="G211" s="7">
        <v>275</v>
      </c>
      <c r="H211" s="8">
        <v>300</v>
      </c>
      <c r="I211" s="5">
        <v>20</v>
      </c>
      <c r="J211" s="21"/>
    </row>
    <row r="212" spans="2:10" ht="14.25">
      <c r="B212" s="41" t="str">
        <f>HYPERLINK("https://orele.ru/products/MK3P-I-240VAC","[...]")</f>
        <v>[...]</v>
      </c>
      <c r="C212" s="16" t="s">
        <v>186</v>
      </c>
      <c r="D212" s="19" t="s">
        <v>310</v>
      </c>
      <c r="E212" s="6">
        <v>235.49836800000003</v>
      </c>
      <c r="F212" s="16" t="s">
        <v>330</v>
      </c>
      <c r="G212" s="7">
        <v>280</v>
      </c>
      <c r="H212" s="8">
        <v>300</v>
      </c>
      <c r="I212" s="5">
        <v>20</v>
      </c>
      <c r="J212" s="21"/>
    </row>
    <row r="213" spans="2:10" ht="14.25">
      <c r="B213" s="41" t="str">
        <f>HYPERLINK("https://orele.ru/products/MK3P-I-24VDC","[...]")</f>
        <v>[...]</v>
      </c>
      <c r="C213" s="16" t="s">
        <v>186</v>
      </c>
      <c r="D213" s="19" t="s">
        <v>259</v>
      </c>
      <c r="E213" s="6">
        <v>247.69068800000002</v>
      </c>
      <c r="F213" s="16" t="s">
        <v>330</v>
      </c>
      <c r="G213" s="7">
        <v>300</v>
      </c>
      <c r="H213" s="8">
        <v>300</v>
      </c>
      <c r="I213" s="5">
        <v>20</v>
      </c>
      <c r="J213" s="21"/>
    </row>
    <row r="214" spans="2:10" ht="14.25">
      <c r="B214" s="41" t="str">
        <f>HYPERLINK("https://orele.ru/products/MS200F-1Z-12VDC-200A","[...]")</f>
        <v>[...]</v>
      </c>
      <c r="C214" s="16" t="s">
        <v>186</v>
      </c>
      <c r="D214" s="19" t="s">
        <v>324</v>
      </c>
      <c r="E214" s="6">
        <v>1082.50368</v>
      </c>
      <c r="F214" s="16">
        <v>10</v>
      </c>
      <c r="G214" s="7" t="s">
        <v>316</v>
      </c>
      <c r="H214" s="8">
        <v>60</v>
      </c>
      <c r="I214" s="5">
        <v>1</v>
      </c>
      <c r="J214" s="21"/>
    </row>
    <row r="215" spans="2:10" ht="14.25">
      <c r="B215" s="41" t="str">
        <f>HYPERLINK("https://orele.ru/products/MY3-24VDC","[...]")</f>
        <v>[...]</v>
      </c>
      <c r="C215" s="16" t="s">
        <v>186</v>
      </c>
      <c r="D215" s="19" t="s">
        <v>304</v>
      </c>
      <c r="E215" s="6">
        <v>109.83219200000002</v>
      </c>
      <c r="F215" s="16" t="s">
        <v>330</v>
      </c>
      <c r="G215" s="7">
        <v>500</v>
      </c>
      <c r="H215" s="8">
        <v>500</v>
      </c>
      <c r="I215" s="5">
        <v>20</v>
      </c>
      <c r="J215" s="21"/>
    </row>
    <row r="216" spans="2:10" ht="14.25" thickBot="1">
      <c r="B216" s="42" t="str">
        <f>HYPERLINK("https://orele.ru/products/MY4-12VDC","[...]")</f>
        <v>[...]</v>
      </c>
      <c r="C216" s="17" t="s">
        <v>186</v>
      </c>
      <c r="D216" s="20" t="s">
        <v>305</v>
      </c>
      <c r="E216" s="12">
        <v>109.83219200000002</v>
      </c>
      <c r="F216" s="17" t="s">
        <v>330</v>
      </c>
      <c r="G216" s="13">
        <v>500</v>
      </c>
      <c r="H216" s="14">
        <v>500</v>
      </c>
      <c r="I216" s="11">
        <v>20</v>
      </c>
      <c r="J216" s="22"/>
    </row>
    <row r="217" spans="2:10" ht="14.25" thickTop="1">
      <c r="B217" s="43" t="str">
        <f>HYPERLINK("https://orele.ru/products/MY4-240VAC","[...]")</f>
        <v>[...]</v>
      </c>
      <c r="C217" s="16" t="s">
        <v>186</v>
      </c>
      <c r="D217" s="19" t="s">
        <v>292</v>
      </c>
      <c r="E217" s="6">
        <v>107.20505599999998</v>
      </c>
      <c r="F217" s="16" t="s">
        <v>118</v>
      </c>
      <c r="G217" s="7">
        <v>85</v>
      </c>
      <c r="H217" s="8">
        <v>500</v>
      </c>
      <c r="I217" s="5">
        <v>20</v>
      </c>
      <c r="J217" s="21"/>
    </row>
    <row r="218" spans="2:10" ht="14.25">
      <c r="B218" s="41" t="str">
        <f>HYPERLINK("https://orele.ru/products/MY4-24VDC","[...]")</f>
        <v>[...]</v>
      </c>
      <c r="C218" s="16" t="s">
        <v>186</v>
      </c>
      <c r="D218" s="19" t="s">
        <v>320</v>
      </c>
      <c r="E218" s="6">
        <v>108.248576</v>
      </c>
      <c r="F218" s="16">
        <v>500</v>
      </c>
      <c r="G218" s="7" t="s">
        <v>316</v>
      </c>
      <c r="H218" s="8">
        <v>500</v>
      </c>
      <c r="I218" s="5">
        <v>20</v>
      </c>
      <c r="J218" s="21"/>
    </row>
    <row r="219" spans="2:10" ht="14.25">
      <c r="B219" s="41" t="str">
        <f>HYPERLINK("https://orele.ru/products/nb903-12s-s-c","[...]")</f>
        <v>[...]</v>
      </c>
      <c r="C219" s="16" t="s">
        <v>115</v>
      </c>
      <c r="D219" s="19" t="s">
        <v>341</v>
      </c>
      <c r="E219" s="6">
        <v>102.89056</v>
      </c>
      <c r="F219" s="16">
        <v>600</v>
      </c>
      <c r="G219" s="7" t="s">
        <v>316</v>
      </c>
      <c r="H219" s="8">
        <v>100</v>
      </c>
      <c r="I219" s="5">
        <v>20</v>
      </c>
      <c r="J219" s="21"/>
    </row>
    <row r="220" spans="2:10" ht="14.25">
      <c r="B220" s="41" t="str">
        <f>HYPERLINK("https://orele.ru/products/nb903-24s-s-c","[...]")</f>
        <v>[...]</v>
      </c>
      <c r="C220" s="16" t="s">
        <v>115</v>
      </c>
      <c r="D220" s="19" t="s">
        <v>342</v>
      </c>
      <c r="E220" s="6">
        <v>105.300224</v>
      </c>
      <c r="F220" s="16">
        <v>600</v>
      </c>
      <c r="G220" s="7" t="s">
        <v>316</v>
      </c>
      <c r="H220" s="8">
        <v>100</v>
      </c>
      <c r="I220" s="5">
        <v>20</v>
      </c>
      <c r="J220" s="21"/>
    </row>
    <row r="221" spans="2:10" ht="14.25">
      <c r="B221" s="41" t="str">
        <f>HYPERLINK("https://orele.ru/products/nb903-ac220s-s-c","[...]")</f>
        <v>[...]</v>
      </c>
      <c r="C221" s="16" t="s">
        <v>115</v>
      </c>
      <c r="D221" s="19" t="s">
        <v>343</v>
      </c>
      <c r="E221" s="6">
        <v>135.950912</v>
      </c>
      <c r="F221" s="16">
        <v>960</v>
      </c>
      <c r="G221" s="7" t="s">
        <v>316</v>
      </c>
      <c r="H221" s="8">
        <v>240</v>
      </c>
      <c r="I221" s="5">
        <v>20</v>
      </c>
      <c r="J221" s="21"/>
    </row>
    <row r="222" spans="2:10" ht="14.25" thickBot="1">
      <c r="B222" s="42" t="str">
        <f>HYPERLINK("https://orele.ru/products/nb903-ac220s-s-c-i","[...]")</f>
        <v>[...]</v>
      </c>
      <c r="C222" s="17" t="s">
        <v>115</v>
      </c>
      <c r="D222" s="20" t="s">
        <v>344</v>
      </c>
      <c r="E222" s="12">
        <v>138.360576</v>
      </c>
      <c r="F222" s="17">
        <v>240</v>
      </c>
      <c r="G222" s="13" t="s">
        <v>316</v>
      </c>
      <c r="H222" s="14">
        <v>240</v>
      </c>
      <c r="I222" s="11">
        <v>20</v>
      </c>
      <c r="J222" s="22"/>
    </row>
    <row r="223" spans="2:10" ht="14.25" thickTop="1">
      <c r="B223" s="43" t="str">
        <f>HYPERLINK("https://orele.ru/products/nb903-ac220s-s-c-l","[...]")</f>
        <v>[...]</v>
      </c>
      <c r="C223" s="16" t="s">
        <v>115</v>
      </c>
      <c r="D223" s="19" t="s">
        <v>345</v>
      </c>
      <c r="E223" s="6">
        <v>138.360576</v>
      </c>
      <c r="F223" s="16">
        <v>480</v>
      </c>
      <c r="G223" s="7" t="s">
        <v>316</v>
      </c>
      <c r="H223" s="8">
        <v>240</v>
      </c>
      <c r="I223" s="5">
        <v>20</v>
      </c>
      <c r="J223" s="21"/>
    </row>
    <row r="224" spans="2:10" ht="14.25">
      <c r="B224" s="41" t="str">
        <f>HYPERLINK("https://orele.ru/products/nb903-ac220s-s-c-t","[...]")</f>
        <v>[...]</v>
      </c>
      <c r="C224" s="16" t="s">
        <v>115</v>
      </c>
      <c r="D224" s="19" t="s">
        <v>346</v>
      </c>
      <c r="E224" s="6">
        <v>138.360576</v>
      </c>
      <c r="F224" s="16">
        <v>480</v>
      </c>
      <c r="G224" s="7" t="s">
        <v>316</v>
      </c>
      <c r="H224" s="8">
        <v>240</v>
      </c>
      <c r="I224" s="5">
        <v>20</v>
      </c>
      <c r="J224" s="21"/>
    </row>
    <row r="225" spans="2:10" ht="14.25">
      <c r="B225" s="41" t="str">
        <f>HYPERLINK("https://orele.ru/products/nb903e-12s-s-c","[...]")</f>
        <v>[...]</v>
      </c>
      <c r="C225" s="16" t="s">
        <v>115</v>
      </c>
      <c r="D225" s="19" t="s">
        <v>347</v>
      </c>
      <c r="E225" s="6">
        <v>86.362624</v>
      </c>
      <c r="F225" s="16">
        <v>600</v>
      </c>
      <c r="G225" s="7" t="s">
        <v>316</v>
      </c>
      <c r="H225" s="8">
        <v>100</v>
      </c>
      <c r="I225" s="5">
        <v>20</v>
      </c>
      <c r="J225" s="21"/>
    </row>
    <row r="226" spans="2:10" ht="14.25">
      <c r="B226" s="41" t="str">
        <f>HYPERLINK("https://orele.ru/products/nb903e-24s-s-c","[...]")</f>
        <v>[...]</v>
      </c>
      <c r="C226" s="16" t="s">
        <v>115</v>
      </c>
      <c r="D226" s="19" t="s">
        <v>348</v>
      </c>
      <c r="E226" s="6">
        <v>88.604672</v>
      </c>
      <c r="F226" s="16">
        <v>600</v>
      </c>
      <c r="G226" s="7" t="s">
        <v>316</v>
      </c>
      <c r="H226" s="8">
        <v>100</v>
      </c>
      <c r="I226" s="5">
        <v>20</v>
      </c>
      <c r="J226" s="21"/>
    </row>
    <row r="227" spans="2:10" ht="14.25">
      <c r="B227" s="41" t="str">
        <f>HYPERLINK("https://orele.ru/products/nb903e-ac220s-s-c","[...]")</f>
        <v>[...]</v>
      </c>
      <c r="C227" s="16" t="s">
        <v>115</v>
      </c>
      <c r="D227" s="19" t="s">
        <v>349</v>
      </c>
      <c r="E227" s="6">
        <v>131.2992</v>
      </c>
      <c r="F227" s="16">
        <v>240</v>
      </c>
      <c r="G227" s="7" t="s">
        <v>316</v>
      </c>
      <c r="H227" s="8">
        <v>240</v>
      </c>
      <c r="I227" s="5">
        <v>20</v>
      </c>
      <c r="J227" s="21"/>
    </row>
    <row r="228" spans="2:10" ht="14.25" thickBot="1">
      <c r="B228" s="42" t="str">
        <f>HYPERLINK("https://orele.ru/products/NT75-1A-S-16-DC12V-0-41-5-0","[...]")</f>
        <v>[...]</v>
      </c>
      <c r="C228" s="17" t="s">
        <v>13</v>
      </c>
      <c r="D228" s="20" t="s">
        <v>137</v>
      </c>
      <c r="E228" s="12">
        <v>73.087552</v>
      </c>
      <c r="F228" s="17" t="s">
        <v>330</v>
      </c>
      <c r="G228" s="13" t="s">
        <v>118</v>
      </c>
      <c r="H228" s="14">
        <v>1000</v>
      </c>
      <c r="I228" s="11">
        <v>20</v>
      </c>
      <c r="J228" s="22"/>
    </row>
    <row r="229" spans="2:10" ht="14.25" thickTop="1">
      <c r="B229" s="43" t="str">
        <f>HYPERLINK("https://orele.ru/products/NT75-1A-S-16-DC24V-0-41-5-0","[...]")</f>
        <v>[...]</v>
      </c>
      <c r="C229" s="16" t="s">
        <v>13</v>
      </c>
      <c r="D229" s="19" t="s">
        <v>176</v>
      </c>
      <c r="E229" s="6">
        <v>78.194688</v>
      </c>
      <c r="F229" s="16" t="s">
        <v>330</v>
      </c>
      <c r="G229" s="7" t="s">
        <v>118</v>
      </c>
      <c r="H229" s="8">
        <v>1000</v>
      </c>
      <c r="I229" s="5">
        <v>20</v>
      </c>
      <c r="J229" s="21"/>
    </row>
    <row r="230" spans="2:10" ht="14.25">
      <c r="B230" s="41" t="str">
        <f>HYPERLINK("https://orele.ru/products/NT75-1C-S-12-DC12V-0-41-3-5","[...]")</f>
        <v>[...]</v>
      </c>
      <c r="C230" s="16" t="s">
        <v>13</v>
      </c>
      <c r="D230" s="19" t="s">
        <v>252</v>
      </c>
      <c r="E230" s="6">
        <v>88.46375696</v>
      </c>
      <c r="F230" s="16" t="s">
        <v>330</v>
      </c>
      <c r="G230" s="7">
        <v>625</v>
      </c>
      <c r="H230" s="8">
        <v>500</v>
      </c>
      <c r="I230" s="5">
        <v>10</v>
      </c>
      <c r="J230" s="21"/>
    </row>
    <row r="231" spans="2:10" ht="14.25">
      <c r="B231" s="41" t="str">
        <f>HYPERLINK("https://orele.ru/products/NT75-1C-S-12-DC24V-0-41-3-5","[...]")</f>
        <v>[...]</v>
      </c>
      <c r="C231" s="16" t="s">
        <v>13</v>
      </c>
      <c r="D231" s="19" t="s">
        <v>260</v>
      </c>
      <c r="E231" s="6">
        <v>93.05177599999999</v>
      </c>
      <c r="F231" s="16" t="s">
        <v>330</v>
      </c>
      <c r="G231" s="7">
        <v>610</v>
      </c>
      <c r="H231" s="8">
        <v>500</v>
      </c>
      <c r="I231" s="5">
        <v>10</v>
      </c>
      <c r="J231" s="21"/>
    </row>
    <row r="232" spans="2:10" ht="14.25">
      <c r="B232" s="41" t="str">
        <f>HYPERLINK("https://orele.ru/products/NT75-1C-S-12-DC5V-0-41-3-5","[...]")</f>
        <v>[...]</v>
      </c>
      <c r="C232" s="16" t="s">
        <v>13</v>
      </c>
      <c r="D232" s="19" t="s">
        <v>261</v>
      </c>
      <c r="E232" s="6">
        <v>88.38995855999998</v>
      </c>
      <c r="F232" s="16" t="s">
        <v>330</v>
      </c>
      <c r="G232" s="7">
        <v>910</v>
      </c>
      <c r="H232" s="8">
        <v>500</v>
      </c>
      <c r="I232" s="5">
        <v>10</v>
      </c>
      <c r="J232" s="21"/>
    </row>
    <row r="233" spans="2:10" ht="14.25">
      <c r="B233" s="41" t="str">
        <f>HYPERLINK("https://orele.ru/products/NT75-1C-S-16-DC12V-0-41-5-0","[...]")</f>
        <v>[...]</v>
      </c>
      <c r="C233" s="16" t="s">
        <v>13</v>
      </c>
      <c r="D233" s="19" t="s">
        <v>135</v>
      </c>
      <c r="E233" s="6">
        <v>79.84518399749633</v>
      </c>
      <c r="F233" s="16" t="s">
        <v>330</v>
      </c>
      <c r="G233" s="7" t="s">
        <v>118</v>
      </c>
      <c r="H233" s="8">
        <v>1000</v>
      </c>
      <c r="I233" s="5">
        <v>20</v>
      </c>
      <c r="J233" s="21"/>
    </row>
    <row r="234" spans="2:10" ht="14.25" thickBot="1">
      <c r="B234" s="42" t="str">
        <f>HYPERLINK("https://orele.ru/products/NT75-1C-S-16-DC24V-0-41-5-0","[...]")</f>
        <v>[...]</v>
      </c>
      <c r="C234" s="17" t="s">
        <v>13</v>
      </c>
      <c r="D234" s="20" t="s">
        <v>138</v>
      </c>
      <c r="E234" s="12">
        <v>86.50478428800427</v>
      </c>
      <c r="F234" s="17" t="s">
        <v>330</v>
      </c>
      <c r="G234" s="13" t="s">
        <v>118</v>
      </c>
      <c r="H234" s="14">
        <v>1000</v>
      </c>
      <c r="I234" s="11">
        <v>20</v>
      </c>
      <c r="J234" s="22"/>
    </row>
    <row r="235" spans="2:10" ht="14.25" thickTop="1">
      <c r="B235" s="43" t="str">
        <f>HYPERLINK("https://orele.ru/products/NT75-1C-S-16-DC5V-0-41-5-0","[...]")</f>
        <v>[...]</v>
      </c>
      <c r="C235" s="16" t="s">
        <v>13</v>
      </c>
      <c r="D235" s="19" t="s">
        <v>134</v>
      </c>
      <c r="E235" s="6">
        <v>86.61253888000002</v>
      </c>
      <c r="F235" s="16" t="s">
        <v>330</v>
      </c>
      <c r="G235" s="7" t="s">
        <v>118</v>
      </c>
      <c r="H235" s="8">
        <v>1000</v>
      </c>
      <c r="I235" s="5">
        <v>20</v>
      </c>
      <c r="J235" s="21"/>
    </row>
    <row r="236" spans="2:10" ht="14.25">
      <c r="B236" s="41" t="str">
        <f>HYPERLINK("https://orele.ru/products/NT75-2C-S-8-DC12V-0-41-5-0","[...]")</f>
        <v>[...]</v>
      </c>
      <c r="C236" s="16" t="s">
        <v>13</v>
      </c>
      <c r="D236" s="19" t="s">
        <v>136</v>
      </c>
      <c r="E236" s="6">
        <v>126.02403928000001</v>
      </c>
      <c r="F236" s="16" t="s">
        <v>330</v>
      </c>
      <c r="G236" s="7" t="s">
        <v>118</v>
      </c>
      <c r="H236" s="8">
        <v>500</v>
      </c>
      <c r="I236" s="5">
        <v>10</v>
      </c>
      <c r="J236" s="21"/>
    </row>
    <row r="237" spans="2:10" ht="14.25">
      <c r="B237" s="41" t="str">
        <f>HYPERLINK("https://orele.ru/products/NT75-2C-S-8-DC24V-0-41-5-0","[...]")</f>
        <v>[...]</v>
      </c>
      <c r="C237" s="16" t="s">
        <v>13</v>
      </c>
      <c r="D237" s="19" t="s">
        <v>153</v>
      </c>
      <c r="E237" s="6">
        <v>125.93966067999999</v>
      </c>
      <c r="F237" s="16" t="s">
        <v>330</v>
      </c>
      <c r="G237" s="7" t="s">
        <v>118</v>
      </c>
      <c r="H237" s="8">
        <v>500</v>
      </c>
      <c r="I237" s="5">
        <v>10</v>
      </c>
      <c r="J237" s="21"/>
    </row>
    <row r="238" spans="2:10" ht="14.25">
      <c r="B238" s="41" t="str">
        <f>HYPERLINK("https://orele.ru/products/NT75-2C-S-8-DC5V-0-41-5-0","[...]")</f>
        <v>[...]</v>
      </c>
      <c r="C238" s="16" t="s">
        <v>13</v>
      </c>
      <c r="D238" s="19" t="s">
        <v>154</v>
      </c>
      <c r="E238" s="6">
        <v>121.49647768</v>
      </c>
      <c r="F238" s="16" t="s">
        <v>330</v>
      </c>
      <c r="G238" s="7" t="s">
        <v>118</v>
      </c>
      <c r="H238" s="8">
        <v>500</v>
      </c>
      <c r="I238" s="5">
        <v>10</v>
      </c>
      <c r="J238" s="21"/>
    </row>
    <row r="239" spans="2:10" ht="14.25">
      <c r="B239" s="41" t="str">
        <f>HYPERLINK("https://orele.ru/products/NT76-C-S-DC12V-0-45-W","[...]")</f>
        <v>[...]</v>
      </c>
      <c r="C239" s="16" t="s">
        <v>13</v>
      </c>
      <c r="D239" s="19" t="s">
        <v>171</v>
      </c>
      <c r="E239" s="6">
        <v>83.72074845920001</v>
      </c>
      <c r="F239" s="16" t="s">
        <v>330</v>
      </c>
      <c r="G239" s="7" t="s">
        <v>118</v>
      </c>
      <c r="H239" s="8">
        <v>1000</v>
      </c>
      <c r="I239" s="5">
        <v>25</v>
      </c>
      <c r="J239" s="21"/>
    </row>
    <row r="240" spans="2:10" ht="14.25" thickBot="1">
      <c r="B240" s="42" t="str">
        <f>HYPERLINK("https://orele.ru/products/NT76-C-S-DC24V-0-45-W","[...]")</f>
        <v>[...]</v>
      </c>
      <c r="C240" s="17" t="s">
        <v>13</v>
      </c>
      <c r="D240" s="20" t="s">
        <v>172</v>
      </c>
      <c r="E240" s="12">
        <v>93.661312</v>
      </c>
      <c r="F240" s="17" t="s">
        <v>330</v>
      </c>
      <c r="G240" s="13">
        <v>500</v>
      </c>
      <c r="H240" s="14">
        <v>1000</v>
      </c>
      <c r="I240" s="11">
        <v>25</v>
      </c>
      <c r="J240" s="22"/>
    </row>
    <row r="241" spans="2:10" ht="14.25" thickTop="1">
      <c r="B241" s="43" t="str">
        <f>HYPERLINK("https://orele.ru/products/NT76-C-S-DC5V-0-45-W","[...]")</f>
        <v>[...]</v>
      </c>
      <c r="C241" s="16" t="s">
        <v>13</v>
      </c>
      <c r="D241" s="19" t="s">
        <v>173</v>
      </c>
      <c r="E241" s="6">
        <v>87.43879075904</v>
      </c>
      <c r="F241" s="16" t="s">
        <v>330</v>
      </c>
      <c r="G241" s="7">
        <v>845</v>
      </c>
      <c r="H241" s="8">
        <v>1000</v>
      </c>
      <c r="I241" s="5">
        <v>25</v>
      </c>
      <c r="J241" s="21"/>
    </row>
    <row r="242" spans="2:10" ht="14.25">
      <c r="B242" s="41" t="str">
        <f>HYPERLINK("https://orele.ru/products/NT77-A-S-12-DC12V","[...]")</f>
        <v>[...]</v>
      </c>
      <c r="C242" s="16" t="s">
        <v>13</v>
      </c>
      <c r="D242" s="19" t="s">
        <v>174</v>
      </c>
      <c r="E242" s="6">
        <v>66.60391404768001</v>
      </c>
      <c r="F242" s="16" t="s">
        <v>330</v>
      </c>
      <c r="G242" s="7">
        <v>915</v>
      </c>
      <c r="H242" s="8">
        <v>1000</v>
      </c>
      <c r="I242" s="5">
        <v>25</v>
      </c>
      <c r="J242" s="21"/>
    </row>
    <row r="243" spans="2:10" ht="14.25">
      <c r="B243" s="41" t="str">
        <f>HYPERLINK("https://orele.ru/products/NT77-A-S-12-DC24V","[...]")</f>
        <v>[...]</v>
      </c>
      <c r="C243" s="16" t="s">
        <v>13</v>
      </c>
      <c r="D243" s="19" t="s">
        <v>175</v>
      </c>
      <c r="E243" s="6">
        <v>73.63872313536001</v>
      </c>
      <c r="F243" s="16" t="s">
        <v>330</v>
      </c>
      <c r="G243" s="7">
        <v>940</v>
      </c>
      <c r="H243" s="8">
        <v>1000</v>
      </c>
      <c r="I243" s="5">
        <v>25</v>
      </c>
      <c r="J243" s="21"/>
    </row>
    <row r="244" spans="2:10" ht="14.25">
      <c r="B244" s="41" t="str">
        <f>HYPERLINK("https://orele.ru/products/NT90-HCS-DC12V-SB-0-9","[...]")</f>
        <v>[...]</v>
      </c>
      <c r="C244" s="16" t="s">
        <v>13</v>
      </c>
      <c r="D244" s="19" t="s">
        <v>142</v>
      </c>
      <c r="E244" s="6">
        <v>108.52380134399999</v>
      </c>
      <c r="F244" s="16" t="s">
        <v>330</v>
      </c>
      <c r="G244" s="7" t="s">
        <v>118</v>
      </c>
      <c r="H244" s="8">
        <v>300</v>
      </c>
      <c r="I244" s="5">
        <v>15</v>
      </c>
      <c r="J244" s="21"/>
    </row>
    <row r="245" spans="2:10" ht="14.25">
      <c r="B245" s="41" t="str">
        <f>HYPERLINK("https://orele.ru/products/NT90-HCS-DC24V-SB-0-9","[...]")</f>
        <v>[...]</v>
      </c>
      <c r="C245" s="16" t="s">
        <v>13</v>
      </c>
      <c r="D245" s="19" t="s">
        <v>179</v>
      </c>
      <c r="E245" s="6">
        <v>100.864192</v>
      </c>
      <c r="F245" s="16" t="s">
        <v>330</v>
      </c>
      <c r="G245" s="7">
        <v>520</v>
      </c>
      <c r="H245" s="8">
        <v>300</v>
      </c>
      <c r="I245" s="5">
        <v>15</v>
      </c>
      <c r="J245" s="21"/>
    </row>
    <row r="246" spans="2:10" ht="14.25" thickBot="1">
      <c r="B246" s="42" t="str">
        <f>HYPERLINK("https://orele.ru/products/NT90-NCS-DC24V-SB-0-9","[...]")</f>
        <v>[...]</v>
      </c>
      <c r="C246" s="17" t="s">
        <v>13</v>
      </c>
      <c r="D246" s="20" t="s">
        <v>146</v>
      </c>
      <c r="E246" s="12">
        <v>131.571801088</v>
      </c>
      <c r="F246" s="17" t="s">
        <v>330</v>
      </c>
      <c r="G246" s="13">
        <v>538</v>
      </c>
      <c r="H246" s="14">
        <v>300</v>
      </c>
      <c r="I246" s="11">
        <v>15</v>
      </c>
      <c r="J246" s="22"/>
    </row>
    <row r="247" spans="2:10" ht="14.25" thickTop="1">
      <c r="B247" s="43" t="str">
        <f>HYPERLINK("https://orele.ru/products/NT90-NCS-DC5V-SB-0-9","[...]")</f>
        <v>[...]</v>
      </c>
      <c r="C247" s="16" t="s">
        <v>13</v>
      </c>
      <c r="D247" s="19" t="s">
        <v>145</v>
      </c>
      <c r="E247" s="6">
        <v>127.64441625600003</v>
      </c>
      <c r="F247" s="16" t="s">
        <v>330</v>
      </c>
      <c r="G247" s="7">
        <v>585</v>
      </c>
      <c r="H247" s="8">
        <v>300</v>
      </c>
      <c r="I247" s="5">
        <v>15</v>
      </c>
      <c r="J247" s="21"/>
    </row>
    <row r="248" spans="2:10" ht="14.25">
      <c r="B248" s="41" t="str">
        <f>HYPERLINK("https://orele.ru/products/NT90R-NCE-AC220V-SB","[...]")</f>
        <v>[...]</v>
      </c>
      <c r="C248" s="16" t="s">
        <v>13</v>
      </c>
      <c r="D248" s="19" t="s">
        <v>284</v>
      </c>
      <c r="E248" s="6">
        <v>203.515904</v>
      </c>
      <c r="F248" s="16" t="s">
        <v>330</v>
      </c>
      <c r="G248" s="7">
        <v>450</v>
      </c>
      <c r="H248" s="8">
        <v>300</v>
      </c>
      <c r="I248" s="5">
        <v>15</v>
      </c>
      <c r="J248" s="21"/>
    </row>
    <row r="249" spans="2:10" ht="14.25">
      <c r="B249" s="41" t="str">
        <f>HYPERLINK("https://orele.ru/products/NT90T-HCS-DC24V-SB-0-9","[...]")</f>
        <v>[...]</v>
      </c>
      <c r="C249" s="16" t="s">
        <v>13</v>
      </c>
      <c r="D249" s="19" t="s">
        <v>147</v>
      </c>
      <c r="E249" s="6">
        <v>140.26425548799998</v>
      </c>
      <c r="F249" s="16" t="s">
        <v>330</v>
      </c>
      <c r="G249" s="7">
        <v>565</v>
      </c>
      <c r="H249" s="8">
        <v>300</v>
      </c>
      <c r="I249" s="5">
        <v>15</v>
      </c>
      <c r="J249" s="21"/>
    </row>
    <row r="250" spans="2:10" ht="14.25">
      <c r="B250" s="41" t="str">
        <f>HYPERLINK("https://orele.ru/products/NT90T-NCE-AC220V-SB","[...]")</f>
        <v>[...]</v>
      </c>
      <c r="C250" s="16" t="s">
        <v>13</v>
      </c>
      <c r="D250" s="19" t="s">
        <v>285</v>
      </c>
      <c r="E250" s="6">
        <v>177.15573872</v>
      </c>
      <c r="F250" s="16" t="s">
        <v>330</v>
      </c>
      <c r="G250" s="7">
        <v>205</v>
      </c>
      <c r="H250" s="8">
        <v>300</v>
      </c>
      <c r="I250" s="5">
        <v>15</v>
      </c>
      <c r="J250" s="21"/>
    </row>
    <row r="251" spans="2:10" ht="14.25">
      <c r="B251" s="41" t="str">
        <f>HYPERLINK("https://orele.ru/products/NT90T-NCS-DC12V-SB-0-9","[...]")</f>
        <v>[...]</v>
      </c>
      <c r="C251" s="16" t="s">
        <v>13</v>
      </c>
      <c r="D251" s="19" t="s">
        <v>143</v>
      </c>
      <c r="E251" s="6">
        <v>114.59852720000002</v>
      </c>
      <c r="F251" s="16" t="s">
        <v>330</v>
      </c>
      <c r="G251" s="7" t="s">
        <v>118</v>
      </c>
      <c r="H251" s="8">
        <v>300</v>
      </c>
      <c r="I251" s="5">
        <v>15</v>
      </c>
      <c r="J251" s="21"/>
    </row>
    <row r="252" spans="2:10" ht="14.25" thickBot="1">
      <c r="B252" s="42" t="str">
        <f>HYPERLINK("https://orele.ru/products/NT90T-NCS-DC24V-SB-0-9","[...]")</f>
        <v>[...]</v>
      </c>
      <c r="C252" s="17" t="s">
        <v>13</v>
      </c>
      <c r="D252" s="20" t="s">
        <v>144</v>
      </c>
      <c r="E252" s="12">
        <v>106.93832589856001</v>
      </c>
      <c r="F252" s="17" t="s">
        <v>330</v>
      </c>
      <c r="G252" s="13">
        <v>43</v>
      </c>
      <c r="H252" s="14">
        <v>300</v>
      </c>
      <c r="I252" s="11">
        <v>15</v>
      </c>
      <c r="J252" s="22"/>
    </row>
    <row r="253" spans="2:10" ht="14.25" thickTop="1">
      <c r="B253" s="43" t="str">
        <f>HYPERLINK("https://orele.ru/products/NT90T-NLCS-DC12V-SB-0-9","[...]")</f>
        <v>[...]</v>
      </c>
      <c r="C253" s="16" t="s">
        <v>13</v>
      </c>
      <c r="D253" s="19" t="s">
        <v>155</v>
      </c>
      <c r="E253" s="6">
        <v>144.16843392</v>
      </c>
      <c r="F253" s="16" t="s">
        <v>330</v>
      </c>
      <c r="G253" s="7">
        <v>405</v>
      </c>
      <c r="H253" s="8">
        <v>300</v>
      </c>
      <c r="I253" s="5">
        <v>15</v>
      </c>
      <c r="J253" s="21"/>
    </row>
    <row r="254" spans="2:10" ht="14.25">
      <c r="B254" s="41" t="str">
        <f>HYPERLINK("https://orele.ru/products/NT90TP-NCE-AC220V-SF","[...]")</f>
        <v>[...]</v>
      </c>
      <c r="C254" s="16" t="s">
        <v>13</v>
      </c>
      <c r="D254" s="19" t="s">
        <v>286</v>
      </c>
      <c r="E254" s="6">
        <v>206.63603200000003</v>
      </c>
      <c r="F254" s="16">
        <v>400</v>
      </c>
      <c r="G254" s="7" t="s">
        <v>316</v>
      </c>
      <c r="H254" s="8">
        <v>100</v>
      </c>
      <c r="I254" s="5">
        <v>20</v>
      </c>
      <c r="J254" s="21"/>
    </row>
    <row r="255" spans="2:10" ht="14.25">
      <c r="B255" s="41" t="str">
        <f>HYPERLINK("https://orele.ru/products/NT90TP-NCE-DC12V-SB-0-9","[...]")</f>
        <v>[...]</v>
      </c>
      <c r="C255" s="16" t="s">
        <v>13</v>
      </c>
      <c r="D255" s="19" t="s">
        <v>325</v>
      </c>
      <c r="E255" s="6">
        <v>141.15104000000002</v>
      </c>
      <c r="F255" s="16">
        <v>400</v>
      </c>
      <c r="G255" s="7" t="s">
        <v>316</v>
      </c>
      <c r="H255" s="8">
        <v>100</v>
      </c>
      <c r="I255" s="5">
        <v>20</v>
      </c>
      <c r="J255" s="21"/>
    </row>
    <row r="256" spans="2:10" ht="14.25">
      <c r="B256" s="41" t="str">
        <f>HYPERLINK("https://orele.ru/products/NT95L-A-D-Z-DC12V","[...]")</f>
        <v>[...]</v>
      </c>
      <c r="C256" s="16" t="s">
        <v>13</v>
      </c>
      <c r="D256" s="19" t="s">
        <v>182</v>
      </c>
      <c r="E256" s="6">
        <v>286.02496</v>
      </c>
      <c r="F256" s="16" t="s">
        <v>330</v>
      </c>
      <c r="G256" s="7">
        <v>50</v>
      </c>
      <c r="H256" s="8">
        <v>500</v>
      </c>
      <c r="I256" s="5">
        <v>25</v>
      </c>
      <c r="J256" s="21"/>
    </row>
    <row r="257" spans="2:10" ht="14.25">
      <c r="B257" s="41" t="str">
        <f>HYPERLINK("https://orele.ru/products/NT95L-A-D-Z-DC24V","[...]")</f>
        <v>[...]</v>
      </c>
      <c r="C257" s="16" t="s">
        <v>13</v>
      </c>
      <c r="D257" s="19" t="s">
        <v>183</v>
      </c>
      <c r="E257" s="6">
        <v>286.02496</v>
      </c>
      <c r="F257" s="16" t="s">
        <v>330</v>
      </c>
      <c r="G257" s="7">
        <v>50</v>
      </c>
      <c r="H257" s="8">
        <v>500</v>
      </c>
      <c r="I257" s="5">
        <v>25</v>
      </c>
      <c r="J257" s="21"/>
    </row>
    <row r="258" spans="2:10" ht="14.25" thickBot="1">
      <c r="B258" s="42" t="str">
        <f>HYPERLINK("https://orele.ru/products/NT95L-A-Z-DC12V","[...]")</f>
        <v>[...]</v>
      </c>
      <c r="C258" s="17" t="s">
        <v>13</v>
      </c>
      <c r="D258" s="20" t="s">
        <v>184</v>
      </c>
      <c r="E258" s="12">
        <v>286.02496</v>
      </c>
      <c r="F258" s="17" t="s">
        <v>330</v>
      </c>
      <c r="G258" s="13">
        <v>45</v>
      </c>
      <c r="H258" s="14">
        <v>500</v>
      </c>
      <c r="I258" s="11">
        <v>25</v>
      </c>
      <c r="J258" s="22"/>
    </row>
    <row r="259" spans="2:10" ht="14.25" thickTop="1">
      <c r="B259" s="43" t="str">
        <f>HYPERLINK("https://orele.ru/products/NT95L-A-Z-DC24V","[...]")</f>
        <v>[...]</v>
      </c>
      <c r="C259" s="16" t="s">
        <v>13</v>
      </c>
      <c r="D259" s="19" t="s">
        <v>185</v>
      </c>
      <c r="E259" s="6">
        <v>286.02496</v>
      </c>
      <c r="F259" s="16" t="s">
        <v>330</v>
      </c>
      <c r="G259" s="7">
        <v>45</v>
      </c>
      <c r="H259" s="8">
        <v>500</v>
      </c>
      <c r="I259" s="5">
        <v>25</v>
      </c>
      <c r="J259" s="21"/>
    </row>
    <row r="260" spans="2:10" ht="14.25">
      <c r="B260" s="41" t="str">
        <f>HYPERLINK("https://orele.ru/products/P-12","[...]")</f>
        <v>[...]</v>
      </c>
      <c r="C260" s="16" t="s">
        <v>13</v>
      </c>
      <c r="D260" s="19" t="s">
        <v>14</v>
      </c>
      <c r="E260" s="6">
        <v>62.184256000000005</v>
      </c>
      <c r="F260" s="16" t="s">
        <v>118</v>
      </c>
      <c r="G260" s="7" t="s">
        <v>316</v>
      </c>
      <c r="H260" s="8">
        <v>1000</v>
      </c>
      <c r="I260" s="5">
        <v>25</v>
      </c>
      <c r="J260" s="21"/>
    </row>
    <row r="261" spans="2:10" ht="14.25">
      <c r="B261" s="41" t="str">
        <f>HYPERLINK("https://orele.ru/products/P-24","[...]")</f>
        <v>[...]</v>
      </c>
      <c r="C261" s="16" t="s">
        <v>13</v>
      </c>
      <c r="D261" s="19" t="s">
        <v>32</v>
      </c>
      <c r="E261" s="6">
        <v>69.48108800000001</v>
      </c>
      <c r="F261" s="16" t="s">
        <v>330</v>
      </c>
      <c r="G261" s="7" t="s">
        <v>118</v>
      </c>
      <c r="H261" s="8">
        <v>1000</v>
      </c>
      <c r="I261" s="5">
        <v>25</v>
      </c>
      <c r="J261" s="21"/>
    </row>
    <row r="262" spans="2:10" ht="14.25">
      <c r="B262" s="41" t="str">
        <f>HYPERLINK("https://orele.ru/products/P-5","[...]")</f>
        <v>[...]</v>
      </c>
      <c r="C262" s="16" t="s">
        <v>13</v>
      </c>
      <c r="D262" s="19" t="s">
        <v>33</v>
      </c>
      <c r="E262" s="6">
        <v>69.02348800000001</v>
      </c>
      <c r="F262" s="16" t="s">
        <v>118</v>
      </c>
      <c r="G262" s="7" t="s">
        <v>118</v>
      </c>
      <c r="H262" s="8">
        <v>1000</v>
      </c>
      <c r="I262" s="5">
        <v>25</v>
      </c>
      <c r="J262" s="21"/>
    </row>
    <row r="263" spans="2:10" ht="14.25">
      <c r="B263" s="41" t="str">
        <f>HYPERLINK("https://orele.ru/products/PK-12","[...]")</f>
        <v>[...]</v>
      </c>
      <c r="C263" s="16" t="s">
        <v>13</v>
      </c>
      <c r="D263" s="19" t="s">
        <v>106</v>
      </c>
      <c r="E263" s="6">
        <v>96.87244800000002</v>
      </c>
      <c r="F263" s="16" t="s">
        <v>330</v>
      </c>
      <c r="G263" s="7" t="s">
        <v>118</v>
      </c>
      <c r="H263" s="8">
        <v>1000</v>
      </c>
      <c r="I263" s="5">
        <v>25</v>
      </c>
      <c r="J263" s="21"/>
    </row>
    <row r="264" spans="2:10" ht="14.25" thickBot="1">
      <c r="B264" s="42" t="str">
        <f>HYPERLINK("https://orele.ru/products/PK-24","[...]")</f>
        <v>[...]</v>
      </c>
      <c r="C264" s="17" t="s">
        <v>13</v>
      </c>
      <c r="D264" s="20" t="s">
        <v>140</v>
      </c>
      <c r="E264" s="12">
        <v>100.94336</v>
      </c>
      <c r="F264" s="17" t="s">
        <v>330</v>
      </c>
      <c r="G264" s="13">
        <v>750</v>
      </c>
      <c r="H264" s="14">
        <v>1000</v>
      </c>
      <c r="I264" s="11">
        <v>25</v>
      </c>
      <c r="J264" s="22"/>
    </row>
    <row r="265" spans="2:10" ht="14.25" thickTop="1">
      <c r="B265" s="43" t="str">
        <f>HYPERLINK("https://orele.ru/products/PK-5","[...]")</f>
        <v>[...]</v>
      </c>
      <c r="C265" s="16" t="s">
        <v>13</v>
      </c>
      <c r="D265" s="19" t="s">
        <v>107</v>
      </c>
      <c r="E265" s="6">
        <v>96.23270400000001</v>
      </c>
      <c r="F265" s="16" t="s">
        <v>330</v>
      </c>
      <c r="G265" s="7" t="s">
        <v>118</v>
      </c>
      <c r="H265" s="8">
        <v>1000</v>
      </c>
      <c r="I265" s="5">
        <v>25</v>
      </c>
      <c r="J265" s="21"/>
    </row>
    <row r="266" spans="2:10" ht="14.25">
      <c r="B266" s="41" t="str">
        <f>HYPERLINK("https://orele.ru/products/PL-5","[...]")</f>
        <v>[...]</v>
      </c>
      <c r="C266" s="16" t="s">
        <v>13</v>
      </c>
      <c r="D266" s="19" t="s">
        <v>139</v>
      </c>
      <c r="E266" s="6">
        <v>70.73804960704</v>
      </c>
      <c r="F266" s="16" t="s">
        <v>330</v>
      </c>
      <c r="G266" s="7">
        <v>470</v>
      </c>
      <c r="H266" s="8">
        <v>1000</v>
      </c>
      <c r="I266" s="5">
        <v>25</v>
      </c>
      <c r="J266" s="21"/>
    </row>
    <row r="267" spans="2:10" ht="14.25">
      <c r="B267" s="41" t="str">
        <f>HYPERLINK("https://orele.ru/products/RWH-SH-103D","[...]")</f>
        <v>[...]</v>
      </c>
      <c r="C267" s="16" t="s">
        <v>3</v>
      </c>
      <c r="D267" s="19" t="s">
        <v>15</v>
      </c>
      <c r="E267" s="6">
        <v>26.90233273257984</v>
      </c>
      <c r="F267" s="16" t="s">
        <v>330</v>
      </c>
      <c r="G267" s="7">
        <v>549</v>
      </c>
      <c r="H267" s="8">
        <v>500</v>
      </c>
      <c r="I267" s="5">
        <v>20</v>
      </c>
      <c r="J267" s="21"/>
    </row>
    <row r="268" spans="2:10" ht="14.25">
      <c r="B268" s="41" t="str">
        <f>HYPERLINK("https://orele.ru/products/TR5V-L-12VDC-S-Z","[...]")</f>
        <v>[...]</v>
      </c>
      <c r="C268" s="16" t="s">
        <v>4</v>
      </c>
      <c r="D268" s="19" t="s">
        <v>55</v>
      </c>
      <c r="E268" s="6">
        <v>28.722419199096773</v>
      </c>
      <c r="F268" s="16" t="s">
        <v>330</v>
      </c>
      <c r="G268" s="7">
        <v>45</v>
      </c>
      <c r="H268" s="8">
        <v>1000</v>
      </c>
      <c r="I268" s="5">
        <v>20</v>
      </c>
      <c r="J268" s="21"/>
    </row>
    <row r="269" spans="2:10" ht="14.25">
      <c r="B269" s="41" t="str">
        <f>HYPERLINK("https://orele.ru/products/TRA3-D-12VDC-S-2Z","[...]")</f>
        <v>[...]</v>
      </c>
      <c r="C269" s="16" t="s">
        <v>4</v>
      </c>
      <c r="D269" s="19" t="s">
        <v>130</v>
      </c>
      <c r="E269" s="6">
        <v>79.32079540800001</v>
      </c>
      <c r="F269" s="16" t="s">
        <v>330</v>
      </c>
      <c r="G269" s="7">
        <v>50</v>
      </c>
      <c r="H269" s="8">
        <v>1000</v>
      </c>
      <c r="I269" s="5">
        <v>25</v>
      </c>
      <c r="J269" s="21"/>
    </row>
    <row r="270" spans="2:10" ht="14.25" thickBot="1">
      <c r="B270" s="42" t="str">
        <f>HYPERLINK("https://orele.ru/products/TRAF-D-12VDC-S-H","[...]")</f>
        <v>[...]</v>
      </c>
      <c r="C270" s="17" t="s">
        <v>4</v>
      </c>
      <c r="D270" s="20" t="s">
        <v>131</v>
      </c>
      <c r="E270" s="12">
        <v>83.93337360000001</v>
      </c>
      <c r="F270" s="17" t="s">
        <v>330</v>
      </c>
      <c r="G270" s="13">
        <v>63</v>
      </c>
      <c r="H270" s="14">
        <v>250</v>
      </c>
      <c r="I270" s="11">
        <v>10</v>
      </c>
      <c r="J270" s="22"/>
    </row>
    <row r="271" spans="2:10" ht="14.25" thickTop="1">
      <c r="B271" s="43" t="str">
        <f>HYPERLINK("https://orele.ru/products/TRG1H-D-12VDC-S-H","[...]")</f>
        <v>[...]</v>
      </c>
      <c r="C271" s="16" t="s">
        <v>4</v>
      </c>
      <c r="D271" s="19" t="s">
        <v>232</v>
      </c>
      <c r="E271" s="6">
        <v>49.043968</v>
      </c>
      <c r="F271" s="16" t="s">
        <v>330</v>
      </c>
      <c r="G271" s="7" t="s">
        <v>118</v>
      </c>
      <c r="H271" s="8">
        <v>500</v>
      </c>
      <c r="I271" s="5">
        <v>20</v>
      </c>
      <c r="J271" s="21"/>
    </row>
    <row r="272" spans="2:10" ht="14.25">
      <c r="B272" s="41" t="str">
        <f>HYPERLINK("https://orele.ru/products/TRG1H-D-24VDC-S-H","[...]")</f>
        <v>[...]</v>
      </c>
      <c r="C272" s="16" t="s">
        <v>4</v>
      </c>
      <c r="D272" s="19" t="s">
        <v>233</v>
      </c>
      <c r="E272" s="6">
        <v>45.494271999999995</v>
      </c>
      <c r="F272" s="16" t="s">
        <v>330</v>
      </c>
      <c r="G272" s="7" t="s">
        <v>118</v>
      </c>
      <c r="H272" s="8">
        <v>500</v>
      </c>
      <c r="I272" s="5">
        <v>20</v>
      </c>
      <c r="J272" s="21"/>
    </row>
    <row r="273" spans="2:10" ht="14.25">
      <c r="B273" s="41" t="str">
        <f>HYPERLINK("https://orele.ru/products/TRS-L-12VDC-S-Z","[...]")</f>
        <v>[...]</v>
      </c>
      <c r="C273" s="16" t="s">
        <v>4</v>
      </c>
      <c r="D273" s="19" t="s">
        <v>254</v>
      </c>
      <c r="E273" s="6">
        <v>56.67517785426368</v>
      </c>
      <c r="F273" s="16" t="s">
        <v>330</v>
      </c>
      <c r="G273" s="7" t="s">
        <v>118</v>
      </c>
      <c r="H273" s="8">
        <v>1000</v>
      </c>
      <c r="I273" s="5">
        <v>25</v>
      </c>
      <c r="J273" s="21"/>
    </row>
    <row r="274" spans="2:10" ht="14.25">
      <c r="B274" s="41"/>
      <c r="C274" s="16" t="s">
        <v>330</v>
      </c>
      <c r="D274" s="19" t="s">
        <v>330</v>
      </c>
      <c r="E274" s="6" t="s">
        <v>330</v>
      </c>
      <c r="F274" s="16" t="s">
        <v>330</v>
      </c>
      <c r="G274" s="7" t="s">
        <v>330</v>
      </c>
      <c r="H274" s="8" t="s">
        <v>330</v>
      </c>
      <c r="I274" s="5" t="s">
        <v>330</v>
      </c>
      <c r="J274" s="21"/>
    </row>
    <row r="275" spans="2:10" ht="14.25">
      <c r="B275" s="41" t="str">
        <f>HYPERLINK("https://orele.ru/products/45900396","[...]")</f>
        <v>[...]</v>
      </c>
      <c r="C275" s="16" t="s">
        <v>186</v>
      </c>
      <c r="D275" s="19" t="s">
        <v>263</v>
      </c>
      <c r="E275" s="6">
        <v>23.538624</v>
      </c>
      <c r="F275" s="16" t="s">
        <v>118</v>
      </c>
      <c r="G275" s="7" t="s">
        <v>316</v>
      </c>
      <c r="H275" s="8">
        <v>3600</v>
      </c>
      <c r="I275" s="5">
        <v>20</v>
      </c>
      <c r="J275" s="21"/>
    </row>
    <row r="276" spans="2:10" ht="14.25" thickBot="1">
      <c r="B276" s="42" t="str">
        <f>HYPERLINK("https://orele.ru/products/45900416","[...]")</f>
        <v>[...]</v>
      </c>
      <c r="C276" s="17" t="s">
        <v>186</v>
      </c>
      <c r="D276" s="20" t="s">
        <v>273</v>
      </c>
      <c r="E276" s="12">
        <v>110.41659122063037</v>
      </c>
      <c r="F276" s="17" t="s">
        <v>330</v>
      </c>
      <c r="G276" s="13">
        <v>304</v>
      </c>
      <c r="H276" s="14">
        <v>300</v>
      </c>
      <c r="I276" s="11">
        <v>10</v>
      </c>
      <c r="J276" s="22"/>
    </row>
    <row r="277" spans="2:10" ht="14.25" thickTop="1">
      <c r="B277" s="43" t="str">
        <f>HYPERLINK("https://orele.ru/products/57611330","[...]")</f>
        <v>[...]</v>
      </c>
      <c r="C277" s="16" t="s">
        <v>186</v>
      </c>
      <c r="D277" s="19" t="s">
        <v>293</v>
      </c>
      <c r="E277" s="6">
        <v>107.868416</v>
      </c>
      <c r="F277" s="16" t="s">
        <v>330</v>
      </c>
      <c r="G277" s="7">
        <v>290</v>
      </c>
      <c r="H277" s="8">
        <v>300</v>
      </c>
      <c r="I277" s="5">
        <v>10</v>
      </c>
      <c r="J277" s="21"/>
    </row>
    <row r="278" spans="2:10" ht="14.25">
      <c r="B278" s="41" t="str">
        <f>HYPERLINK("https://orele.ru/products/CS-3770","[...]")</f>
        <v>[...]</v>
      </c>
      <c r="C278" s="16" t="s">
        <v>186</v>
      </c>
      <c r="D278" s="19" t="s">
        <v>326</v>
      </c>
      <c r="E278" s="6">
        <v>59.057472</v>
      </c>
      <c r="F278" s="16" t="s">
        <v>118</v>
      </c>
      <c r="G278" s="7" t="s">
        <v>316</v>
      </c>
      <c r="H278" s="8">
        <v>300</v>
      </c>
      <c r="I278" s="5">
        <v>10</v>
      </c>
      <c r="J278" s="21"/>
    </row>
    <row r="279" spans="2:10" ht="14.25">
      <c r="B279" s="41" t="str">
        <f>HYPERLINK("https://orele.ru/products/CS-3770B","[...]")</f>
        <v>[...]</v>
      </c>
      <c r="C279" s="16" t="s">
        <v>186</v>
      </c>
      <c r="D279" s="19" t="s">
        <v>327</v>
      </c>
      <c r="E279" s="6">
        <v>59.057472</v>
      </c>
      <c r="F279" s="16">
        <v>300</v>
      </c>
      <c r="G279" s="7" t="s">
        <v>316</v>
      </c>
      <c r="H279" s="8">
        <v>300</v>
      </c>
      <c r="I279" s="5">
        <v>10</v>
      </c>
      <c r="J279" s="21"/>
    </row>
    <row r="280" spans="2:10" ht="14.25">
      <c r="B280" s="41" t="str">
        <f>HYPERLINK("https://orele.ru/products/CS-3770M","[...]")</f>
        <v>[...]</v>
      </c>
      <c r="C280" s="16" t="s">
        <v>186</v>
      </c>
      <c r="D280" s="19" t="s">
        <v>328</v>
      </c>
      <c r="E280" s="6">
        <v>19.864511999999998</v>
      </c>
      <c r="F280" s="16">
        <v>500</v>
      </c>
      <c r="G280" s="7" t="s">
        <v>316</v>
      </c>
      <c r="H280" s="8">
        <v>200</v>
      </c>
      <c r="I280" s="5">
        <v>10</v>
      </c>
      <c r="J280" s="21"/>
    </row>
    <row r="281" spans="2:10" ht="14.25">
      <c r="B281" s="41" t="str">
        <f>HYPERLINK("https://orele.ru/products/PF083A","[...]")</f>
        <v>[...]</v>
      </c>
      <c r="C281" s="16" t="s">
        <v>186</v>
      </c>
      <c r="D281" s="19" t="s">
        <v>274</v>
      </c>
      <c r="E281" s="6">
        <v>34.21696000000001</v>
      </c>
      <c r="F281" s="16" t="s">
        <v>330</v>
      </c>
      <c r="G281" s="7">
        <v>410</v>
      </c>
      <c r="H281" s="8">
        <v>600</v>
      </c>
      <c r="I281" s="5">
        <v>20</v>
      </c>
      <c r="J281" s="21"/>
    </row>
    <row r="282" spans="2:10" ht="14.25" thickBot="1">
      <c r="B282" s="42" t="str">
        <f>HYPERLINK("https://orele.ru/products/PF113A","[...]")</f>
        <v>[...]</v>
      </c>
      <c r="C282" s="17" t="s">
        <v>186</v>
      </c>
      <c r="D282" s="20" t="s">
        <v>275</v>
      </c>
      <c r="E282" s="12">
        <v>49.589952000000004</v>
      </c>
      <c r="F282" s="17" t="s">
        <v>330</v>
      </c>
      <c r="G282" s="13">
        <v>560</v>
      </c>
      <c r="H282" s="14">
        <v>600</v>
      </c>
      <c r="I282" s="11">
        <v>20</v>
      </c>
      <c r="J282" s="22"/>
    </row>
    <row r="283" spans="2:10" ht="14.25" thickTop="1">
      <c r="B283" s="43" t="str">
        <f>HYPERLINK("https://orele.ru/products/PLF-X12","[...]")</f>
        <v>[...]</v>
      </c>
      <c r="C283" s="16" t="s">
        <v>3</v>
      </c>
      <c r="D283" s="19" t="s">
        <v>64</v>
      </c>
      <c r="E283" s="6">
        <v>147.20000000000002</v>
      </c>
      <c r="F283" s="16" t="s">
        <v>330</v>
      </c>
      <c r="G283" s="7" t="s">
        <v>98</v>
      </c>
      <c r="H283" s="8">
        <v>200</v>
      </c>
      <c r="I283" s="5">
        <v>20</v>
      </c>
      <c r="J283" s="21"/>
    </row>
    <row r="284" spans="2:10" ht="14.25">
      <c r="B284" s="41" t="str">
        <f>HYPERLINK("https://orele.ru/products/PT53F-11A-3Z-16A","[...]")</f>
        <v>[...]</v>
      </c>
      <c r="C284" s="16" t="s">
        <v>5</v>
      </c>
      <c r="D284" s="19" t="s">
        <v>35</v>
      </c>
      <c r="E284" s="6">
        <v>166.491310208</v>
      </c>
      <c r="F284" s="16" t="s">
        <v>330</v>
      </c>
      <c r="G284" s="7">
        <v>91</v>
      </c>
      <c r="H284" s="8">
        <v>300</v>
      </c>
      <c r="I284" s="5">
        <v>10</v>
      </c>
      <c r="J284" s="21"/>
    </row>
    <row r="285" spans="2:10" ht="14.25">
      <c r="B285" s="41" t="str">
        <f>HYPERLINK("https://orele.ru/products/PTF08-5A","[...]")</f>
        <v>[...]</v>
      </c>
      <c r="C285" s="16" t="s">
        <v>186</v>
      </c>
      <c r="D285" s="19" t="s">
        <v>277</v>
      </c>
      <c r="E285" s="6">
        <v>77.876992</v>
      </c>
      <c r="F285" s="16" t="s">
        <v>330</v>
      </c>
      <c r="G285" s="7">
        <v>480</v>
      </c>
      <c r="H285" s="8">
        <v>600</v>
      </c>
      <c r="I285" s="5">
        <v>10</v>
      </c>
      <c r="J285" s="21"/>
    </row>
    <row r="286" spans="2:10" ht="14.25">
      <c r="B286" s="41" t="str">
        <f>HYPERLINK("https://orele.ru/products/PTF08A-DTF08A-","[...]")</f>
        <v>[...]</v>
      </c>
      <c r="C286" s="16" t="s">
        <v>186</v>
      </c>
      <c r="D286" s="19" t="s">
        <v>276</v>
      </c>
      <c r="E286" s="6">
        <v>44.904214957694315</v>
      </c>
      <c r="F286" s="16" t="s">
        <v>330</v>
      </c>
      <c r="G286" s="7" t="s">
        <v>118</v>
      </c>
      <c r="H286" s="8">
        <v>480</v>
      </c>
      <c r="I286" s="5">
        <v>20</v>
      </c>
      <c r="J286" s="21"/>
    </row>
    <row r="287" spans="2:10" ht="14.25">
      <c r="B287" s="41" t="str">
        <f>HYPERLINK("https://orele.ru/products/PTF11A-DTF11A-","[...]")</f>
        <v>[...]</v>
      </c>
      <c r="C287" s="16" t="s">
        <v>186</v>
      </c>
      <c r="D287" s="19" t="s">
        <v>278</v>
      </c>
      <c r="E287" s="6">
        <v>96.91506393700789</v>
      </c>
      <c r="F287" s="16" t="s">
        <v>330</v>
      </c>
      <c r="G287" s="7">
        <v>508</v>
      </c>
      <c r="H287" s="8">
        <v>400</v>
      </c>
      <c r="I287" s="5">
        <v>20</v>
      </c>
      <c r="J287" s="21"/>
    </row>
    <row r="288" spans="2:10" ht="14.25" thickBot="1">
      <c r="B288" s="42" t="str">
        <f>HYPERLINK("https://orele.ru/products/PTF14A-DTF14A-","[...]")</f>
        <v>[...]</v>
      </c>
      <c r="C288" s="17" t="s">
        <v>186</v>
      </c>
      <c r="D288" s="20" t="s">
        <v>279</v>
      </c>
      <c r="E288" s="12">
        <v>128.73792</v>
      </c>
      <c r="F288" s="17" t="s">
        <v>330</v>
      </c>
      <c r="G288" s="13">
        <v>260</v>
      </c>
      <c r="H288" s="14">
        <v>400</v>
      </c>
      <c r="I288" s="11">
        <v>20</v>
      </c>
      <c r="J288" s="22"/>
    </row>
    <row r="289" spans="2:10" ht="14.25" thickTop="1">
      <c r="B289" s="43" t="str">
        <f>HYPERLINK("https://orele.ru/products/PYF11A-DYF11A-","[...]")</f>
        <v>[...]</v>
      </c>
      <c r="C289" s="16" t="s">
        <v>186</v>
      </c>
      <c r="D289" s="19" t="s">
        <v>226</v>
      </c>
      <c r="E289" s="6">
        <v>51.52537984804993</v>
      </c>
      <c r="F289" s="16" t="s">
        <v>330</v>
      </c>
      <c r="G289" s="7">
        <v>662</v>
      </c>
      <c r="H289" s="8">
        <v>600</v>
      </c>
      <c r="I289" s="5">
        <v>20</v>
      </c>
      <c r="J289" s="21"/>
    </row>
    <row r="290" spans="2:10" ht="14.25">
      <c r="B290" s="41" t="str">
        <f>HYPERLINK("https://orele.ru/products/PYF14A-DYF14A-","[...]")</f>
        <v>[...]</v>
      </c>
      <c r="C290" s="16" t="s">
        <v>186</v>
      </c>
      <c r="D290" s="19" t="s">
        <v>227</v>
      </c>
      <c r="E290" s="6">
        <v>52.108829170214925</v>
      </c>
      <c r="F290" s="16" t="s">
        <v>330</v>
      </c>
      <c r="G290" s="7" t="s">
        <v>118</v>
      </c>
      <c r="H290" s="8">
        <v>600</v>
      </c>
      <c r="I290" s="5">
        <v>20</v>
      </c>
      <c r="J290" s="21"/>
    </row>
    <row r="291" spans="2:10" ht="14.25">
      <c r="B291" s="41" t="str">
        <f>HYPERLINK("https://orele.ru/products/QJ-80","[...]")</f>
        <v>[...]</v>
      </c>
      <c r="C291" s="16" t="s">
        <v>186</v>
      </c>
      <c r="D291" s="19" t="s">
        <v>299</v>
      </c>
      <c r="E291" s="6">
        <v>60.453248</v>
      </c>
      <c r="F291" s="16">
        <v>600</v>
      </c>
      <c r="G291" s="7" t="s">
        <v>316</v>
      </c>
      <c r="H291" s="8">
        <v>300</v>
      </c>
      <c r="I291" s="5">
        <v>10</v>
      </c>
      <c r="J291" s="21"/>
    </row>
    <row r="292" spans="2:10" ht="14.25">
      <c r="B292" s="41" t="str">
        <f>HYPERLINK("https://orele.ru/products/RT624-B","[...]")</f>
        <v>[...]</v>
      </c>
      <c r="C292" s="16" t="s">
        <v>5</v>
      </c>
      <c r="D292" s="19" t="s">
        <v>36</v>
      </c>
      <c r="E292" s="6">
        <v>122.31360000000001</v>
      </c>
      <c r="F292" s="16" t="s">
        <v>330</v>
      </c>
      <c r="G292" s="7">
        <v>36</v>
      </c>
      <c r="H292" s="8">
        <v>600</v>
      </c>
      <c r="I292" s="5">
        <v>20</v>
      </c>
      <c r="J292" s="21"/>
    </row>
    <row r="293" spans="2:10" ht="14.25">
      <c r="B293" s="41" t="str">
        <f>HYPERLINK("https://orele.ru/products/RT625","[...]")</f>
        <v>[...]</v>
      </c>
      <c r="C293" s="16" t="s">
        <v>186</v>
      </c>
      <c r="D293" s="19" t="s">
        <v>264</v>
      </c>
      <c r="E293" s="6">
        <v>93.54297599999998</v>
      </c>
      <c r="F293" s="16" t="s">
        <v>330</v>
      </c>
      <c r="G293" s="7" t="s">
        <v>118</v>
      </c>
      <c r="H293" s="8">
        <v>560</v>
      </c>
      <c r="I293" s="5">
        <v>20</v>
      </c>
      <c r="J293" s="21"/>
    </row>
    <row r="294" spans="2:10" ht="14.25" thickBot="1">
      <c r="B294" s="42" t="str">
        <f>HYPERLINK("https://orele.ru/products/RT626","[...]")</f>
        <v>[...]</v>
      </c>
      <c r="C294" s="17" t="s">
        <v>186</v>
      </c>
      <c r="D294" s="20" t="s">
        <v>265</v>
      </c>
      <c r="E294" s="12">
        <v>98.768448</v>
      </c>
      <c r="F294" s="17" t="s">
        <v>330</v>
      </c>
      <c r="G294" s="13">
        <v>304</v>
      </c>
      <c r="H294" s="14">
        <v>360</v>
      </c>
      <c r="I294" s="11">
        <v>20</v>
      </c>
      <c r="J294" s="22"/>
    </row>
    <row r="295" spans="2:10" ht="14.25" thickTop="1">
      <c r="B295" s="43" t="str">
        <f>HYPERLINK("https://orele.ru/products/RT704","[...]")</f>
        <v>[...]</v>
      </c>
      <c r="C295" s="16" t="s">
        <v>186</v>
      </c>
      <c r="D295" s="19" t="s">
        <v>253</v>
      </c>
      <c r="E295" s="6">
        <v>134.28787200000002</v>
      </c>
      <c r="F295" s="16" t="s">
        <v>118</v>
      </c>
      <c r="G295" s="7" t="s">
        <v>316</v>
      </c>
      <c r="H295" s="8">
        <v>300</v>
      </c>
      <c r="I295" s="5">
        <v>10</v>
      </c>
      <c r="J295" s="21"/>
    </row>
    <row r="296" spans="2:10" ht="14.25">
      <c r="B296" s="41"/>
      <c r="C296" s="16" t="s">
        <v>330</v>
      </c>
      <c r="D296" s="19" t="s">
        <v>330</v>
      </c>
      <c r="E296" s="6" t="s">
        <v>330</v>
      </c>
      <c r="F296" s="16" t="s">
        <v>330</v>
      </c>
      <c r="G296" s="7" t="s">
        <v>330</v>
      </c>
      <c r="H296" s="8" t="s">
        <v>330</v>
      </c>
      <c r="I296" s="5" t="s">
        <v>330</v>
      </c>
      <c r="J296" s="21"/>
    </row>
    <row r="297" spans="2:10" ht="14.25">
      <c r="B297" s="41"/>
      <c r="C297" s="16" t="s">
        <v>330</v>
      </c>
      <c r="D297" s="19" t="s">
        <v>330</v>
      </c>
      <c r="E297" s="6" t="s">
        <v>330</v>
      </c>
      <c r="F297" s="16" t="s">
        <v>330</v>
      </c>
      <c r="G297" s="7" t="s">
        <v>330</v>
      </c>
      <c r="H297" s="8" t="s">
        <v>330</v>
      </c>
      <c r="I297" s="5" t="s">
        <v>330</v>
      </c>
      <c r="J297" s="21"/>
    </row>
    <row r="298" spans="2:10" ht="14.25">
      <c r="B298" s="41" t="str">
        <f>HYPERLINK("https://orele.ru/products/B-15F","[...]")</f>
        <v>[...]</v>
      </c>
      <c r="C298" s="16" t="s">
        <v>186</v>
      </c>
      <c r="D298" s="19" t="s">
        <v>71</v>
      </c>
      <c r="E298" s="6">
        <v>8.3808</v>
      </c>
      <c r="F298" s="16" t="s">
        <v>330</v>
      </c>
      <c r="G298" s="7">
        <v>5</v>
      </c>
      <c r="H298" s="8">
        <v>100</v>
      </c>
      <c r="I298" s="5">
        <v>10</v>
      </c>
      <c r="J298" s="21"/>
    </row>
    <row r="299" spans="2:10" ht="14.25">
      <c r="B299" s="41" t="str">
        <f>HYPERLINK("https://orele.ru/products/B-25C","[...]")</f>
        <v>[...]</v>
      </c>
      <c r="C299" s="16" t="s">
        <v>186</v>
      </c>
      <c r="D299" s="19" t="s">
        <v>180</v>
      </c>
      <c r="E299" s="6">
        <v>19.2</v>
      </c>
      <c r="F299" s="16" t="s">
        <v>330</v>
      </c>
      <c r="G299" s="7">
        <v>300</v>
      </c>
      <c r="H299" s="8">
        <v>100</v>
      </c>
      <c r="I299" s="5">
        <v>10</v>
      </c>
      <c r="J299" s="21"/>
    </row>
    <row r="300" spans="2:10" ht="14.25" thickBot="1">
      <c r="B300" s="42" t="str">
        <f>HYPERLINK("https://orele.ru/products/B-35B","[...]")</f>
        <v>[...]</v>
      </c>
      <c r="C300" s="17" t="s">
        <v>5</v>
      </c>
      <c r="D300" s="20" t="s">
        <v>90</v>
      </c>
      <c r="E300" s="12">
        <v>12.8</v>
      </c>
      <c r="F300" s="17" t="s">
        <v>330</v>
      </c>
      <c r="G300" s="13">
        <v>200</v>
      </c>
      <c r="H300" s="14">
        <v>100</v>
      </c>
      <c r="I300" s="11">
        <v>10</v>
      </c>
      <c r="J300" s="22"/>
    </row>
    <row r="301" spans="2:10" ht="14.25" thickTop="1">
      <c r="B301" s="43" t="str">
        <f>HYPERLINK("https://orele.ru/products/BP-36-MS","[...]")</f>
        <v>[...]</v>
      </c>
      <c r="C301" s="16" t="s">
        <v>3</v>
      </c>
      <c r="D301" s="19" t="s">
        <v>91</v>
      </c>
      <c r="E301" s="6">
        <v>12.8</v>
      </c>
      <c r="F301" s="16" t="s">
        <v>330</v>
      </c>
      <c r="G301" s="7">
        <v>200</v>
      </c>
      <c r="H301" s="8">
        <v>100</v>
      </c>
      <c r="I301" s="5">
        <v>10</v>
      </c>
      <c r="J301" s="21"/>
    </row>
    <row r="302" spans="2:10" ht="14.25">
      <c r="B302" s="41" t="str">
        <f>HYPERLINK("https://orele.ru/products/BS-20-P","[...]")</f>
        <v>[...]</v>
      </c>
      <c r="C302" s="16" t="s">
        <v>186</v>
      </c>
      <c r="D302" s="19" t="s">
        <v>70</v>
      </c>
      <c r="E302" s="6">
        <v>12.8</v>
      </c>
      <c r="F302" s="16" t="s">
        <v>330</v>
      </c>
      <c r="G302" s="7">
        <v>682</v>
      </c>
      <c r="H302" s="8">
        <v>100</v>
      </c>
      <c r="I302" s="5">
        <v>10</v>
      </c>
      <c r="J302" s="21"/>
    </row>
    <row r="303" spans="2:10" ht="14.25">
      <c r="B303" s="41" t="str">
        <f>HYPERLINK("https://orele.ru/products/K-35","[...]")</f>
        <v>[...]</v>
      </c>
      <c r="C303" s="16" t="s">
        <v>5</v>
      </c>
      <c r="D303" s="19" t="s">
        <v>92</v>
      </c>
      <c r="E303" s="6">
        <v>12.8</v>
      </c>
      <c r="F303" s="16" t="s">
        <v>330</v>
      </c>
      <c r="G303" s="7">
        <v>30</v>
      </c>
      <c r="H303" s="8">
        <v>100</v>
      </c>
      <c r="I303" s="5">
        <v>10</v>
      </c>
      <c r="J303" s="21"/>
    </row>
    <row r="304" spans="2:10" ht="14.25">
      <c r="B304" s="41" t="str">
        <f>HYPERLINK("https://orele.ru/products/K-35S","[...]")</f>
        <v>[...]</v>
      </c>
      <c r="C304" s="16" t="s">
        <v>186</v>
      </c>
      <c r="D304" s="19" t="s">
        <v>297</v>
      </c>
      <c r="E304" s="6">
        <v>9.077568</v>
      </c>
      <c r="F304" s="16" t="s">
        <v>330</v>
      </c>
      <c r="G304" s="7">
        <v>205</v>
      </c>
      <c r="H304" s="8">
        <v>100</v>
      </c>
      <c r="I304" s="5">
        <v>10</v>
      </c>
      <c r="J304" s="21"/>
    </row>
    <row r="305" spans="2:10" ht="14.25">
      <c r="B305" s="41" t="str">
        <f>HYPERLINK("https://orele.ru/products/K-35T","[...]")</f>
        <v>[...]</v>
      </c>
      <c r="C305" s="16" t="s">
        <v>5</v>
      </c>
      <c r="D305" s="19" t="s">
        <v>94</v>
      </c>
      <c r="E305" s="6">
        <v>12.8</v>
      </c>
      <c r="F305" s="16" t="s">
        <v>330</v>
      </c>
      <c r="G305" s="7">
        <v>650</v>
      </c>
      <c r="H305" s="8">
        <v>100</v>
      </c>
      <c r="I305" s="5">
        <v>10</v>
      </c>
      <c r="J305" s="21"/>
    </row>
    <row r="306" spans="2:10" ht="14.25" thickBot="1">
      <c r="B306" s="42" t="str">
        <f>HYPERLINK("https://orele.ru/products/WE-PI","[...]")</f>
        <v>[...]</v>
      </c>
      <c r="C306" s="17" t="s">
        <v>186</v>
      </c>
      <c r="D306" s="20" t="s">
        <v>244</v>
      </c>
      <c r="E306" s="12">
        <v>8.3808</v>
      </c>
      <c r="F306" s="17" t="s">
        <v>330</v>
      </c>
      <c r="G306" s="13" t="s">
        <v>118</v>
      </c>
      <c r="H306" s="14">
        <v>100</v>
      </c>
      <c r="I306" s="11">
        <v>10</v>
      </c>
      <c r="J306" s="22"/>
    </row>
    <row r="307" spans="2:10" ht="14.25" thickTop="1">
      <c r="B307" s="43"/>
      <c r="C307" s="16" t="s">
        <v>330</v>
      </c>
      <c r="D307" s="19" t="s">
        <v>330</v>
      </c>
      <c r="E307" s="6" t="s">
        <v>330</v>
      </c>
      <c r="F307" s="16" t="s">
        <v>330</v>
      </c>
      <c r="G307" s="7" t="s">
        <v>330</v>
      </c>
      <c r="H307" s="8" t="s">
        <v>330</v>
      </c>
      <c r="I307" s="5" t="s">
        <v>330</v>
      </c>
      <c r="J307" s="21"/>
    </row>
    <row r="308" spans="2:10" ht="14.25">
      <c r="B308" s="41"/>
      <c r="C308" s="16" t="s">
        <v>330</v>
      </c>
      <c r="D308" s="19" t="s">
        <v>330</v>
      </c>
      <c r="E308" s="6" t="s">
        <v>330</v>
      </c>
      <c r="F308" s="16" t="s">
        <v>330</v>
      </c>
      <c r="G308" s="7" t="s">
        <v>330</v>
      </c>
      <c r="H308" s="8" t="s">
        <v>330</v>
      </c>
      <c r="I308" s="5" t="s">
        <v>330</v>
      </c>
      <c r="J308" s="21"/>
    </row>
    <row r="309" spans="2:10" ht="14.25">
      <c r="B309" s="41"/>
      <c r="C309" s="16" t="s">
        <v>13</v>
      </c>
      <c r="D309" s="19" t="s">
        <v>157</v>
      </c>
      <c r="E309" s="6">
        <v>140.73600000000002</v>
      </c>
      <c r="F309" s="16" t="s">
        <v>330</v>
      </c>
      <c r="G309" s="7">
        <v>2</v>
      </c>
      <c r="H309" s="8" t="s">
        <v>330</v>
      </c>
      <c r="I309" s="5">
        <v>1</v>
      </c>
      <c r="J309" s="21"/>
    </row>
    <row r="310" spans="2:10" ht="14.25">
      <c r="B310" s="41"/>
      <c r="C310" s="16" t="s">
        <v>66</v>
      </c>
      <c r="D310" s="19" t="s">
        <v>82</v>
      </c>
      <c r="E310" s="6">
        <v>89.60000000000001</v>
      </c>
      <c r="F310" s="16" t="s">
        <v>330</v>
      </c>
      <c r="G310" s="7">
        <v>8</v>
      </c>
      <c r="H310" s="8" t="s">
        <v>330</v>
      </c>
      <c r="I310" s="5">
        <v>1</v>
      </c>
      <c r="J310" s="21"/>
    </row>
    <row r="311" spans="2:10" ht="14.25">
      <c r="B311" s="41"/>
      <c r="C311" s="16" t="s">
        <v>66</v>
      </c>
      <c r="D311" s="19" t="s">
        <v>72</v>
      </c>
      <c r="E311" s="6">
        <v>51.2</v>
      </c>
      <c r="F311" s="16" t="s">
        <v>330</v>
      </c>
      <c r="G311" s="7">
        <v>9</v>
      </c>
      <c r="H311" s="8" t="s">
        <v>330</v>
      </c>
      <c r="I311" s="5">
        <v>1</v>
      </c>
      <c r="J311" s="21"/>
    </row>
    <row r="312" spans="2:10" ht="14.25" thickBot="1">
      <c r="B312" s="42"/>
      <c r="C312" s="17" t="s">
        <v>13</v>
      </c>
      <c r="D312" s="20" t="s">
        <v>73</v>
      </c>
      <c r="E312" s="12">
        <v>19.2</v>
      </c>
      <c r="F312" s="17" t="s">
        <v>330</v>
      </c>
      <c r="G312" s="13">
        <v>50</v>
      </c>
      <c r="H312" s="14" t="s">
        <v>330</v>
      </c>
      <c r="I312" s="11">
        <v>1</v>
      </c>
      <c r="J312" s="22"/>
    </row>
    <row r="313" spans="2:10" ht="14.25" thickTop="1">
      <c r="B313" s="43"/>
      <c r="C313" s="16" t="s">
        <v>66</v>
      </c>
      <c r="D313" s="19" t="s">
        <v>67</v>
      </c>
      <c r="E313" s="6">
        <v>153.6</v>
      </c>
      <c r="F313" s="16" t="s">
        <v>330</v>
      </c>
      <c r="G313" s="7">
        <v>16</v>
      </c>
      <c r="H313" s="8" t="s">
        <v>330</v>
      </c>
      <c r="I313" s="5">
        <v>1</v>
      </c>
      <c r="J313" s="21"/>
    </row>
    <row r="314" spans="2:10" ht="14.25">
      <c r="B314" s="41"/>
      <c r="C314" s="16" t="s">
        <v>65</v>
      </c>
      <c r="D314" s="19" t="s">
        <v>102</v>
      </c>
      <c r="E314" s="6">
        <v>512</v>
      </c>
      <c r="F314" s="16" t="s">
        <v>330</v>
      </c>
      <c r="G314" s="7">
        <v>2</v>
      </c>
      <c r="H314" s="8" t="s">
        <v>330</v>
      </c>
      <c r="I314" s="5">
        <v>1</v>
      </c>
      <c r="J314" s="21"/>
    </row>
    <row r="315" spans="2:10" ht="14.25">
      <c r="B315" s="41"/>
      <c r="C315" s="16" t="s">
        <v>66</v>
      </c>
      <c r="D315" s="19" t="s">
        <v>74</v>
      </c>
      <c r="E315" s="6">
        <v>32</v>
      </c>
      <c r="F315" s="16" t="s">
        <v>330</v>
      </c>
      <c r="G315" s="7">
        <v>2</v>
      </c>
      <c r="H315" s="8" t="s">
        <v>330</v>
      </c>
      <c r="I315" s="5">
        <v>1</v>
      </c>
      <c r="J315" s="21"/>
    </row>
    <row r="316" spans="2:10" ht="14.25">
      <c r="B316" s="41"/>
      <c r="C316" s="16" t="s">
        <v>66</v>
      </c>
      <c r="D316" s="19" t="s">
        <v>124</v>
      </c>
      <c r="E316" s="6">
        <v>57.6</v>
      </c>
      <c r="F316" s="16" t="s">
        <v>330</v>
      </c>
      <c r="G316" s="7">
        <v>14</v>
      </c>
      <c r="H316" s="8" t="s">
        <v>330</v>
      </c>
      <c r="I316" s="5">
        <v>1</v>
      </c>
      <c r="J316" s="21"/>
    </row>
    <row r="317" spans="2:10" ht="14.25">
      <c r="B317" s="41"/>
      <c r="C317" s="16" t="s">
        <v>66</v>
      </c>
      <c r="D317" s="19" t="s">
        <v>158</v>
      </c>
      <c r="E317" s="6">
        <v>86.55040000000001</v>
      </c>
      <c r="F317" s="16" t="s">
        <v>330</v>
      </c>
      <c r="G317" s="7">
        <v>10</v>
      </c>
      <c r="H317" s="8" t="s">
        <v>330</v>
      </c>
      <c r="I317" s="5">
        <v>1</v>
      </c>
      <c r="J317" s="21"/>
    </row>
    <row r="318" spans="2:10" ht="14.25" thickBot="1">
      <c r="B318" s="42"/>
      <c r="C318" s="17" t="s">
        <v>66</v>
      </c>
      <c r="D318" s="20" t="s">
        <v>159</v>
      </c>
      <c r="E318" s="12">
        <v>86.55040000000001</v>
      </c>
      <c r="F318" s="17" t="s">
        <v>330</v>
      </c>
      <c r="G318" s="13">
        <v>9</v>
      </c>
      <c r="H318" s="14" t="s">
        <v>330</v>
      </c>
      <c r="I318" s="11">
        <v>1</v>
      </c>
      <c r="J318" s="22"/>
    </row>
    <row r="319" spans="2:10" ht="14.25" thickTop="1">
      <c r="B319" s="43"/>
      <c r="C319" s="16" t="s">
        <v>3</v>
      </c>
      <c r="D319" s="19" t="s">
        <v>160</v>
      </c>
      <c r="E319" s="6">
        <v>65.888</v>
      </c>
      <c r="F319" s="16" t="s">
        <v>330</v>
      </c>
      <c r="G319" s="7">
        <v>16</v>
      </c>
      <c r="H319" s="8" t="s">
        <v>330</v>
      </c>
      <c r="I319" s="5">
        <v>1</v>
      </c>
      <c r="J319" s="21"/>
    </row>
    <row r="320" spans="2:10" ht="14.25">
      <c r="B320" s="41"/>
      <c r="C320" s="16" t="s">
        <v>3</v>
      </c>
      <c r="D320" s="19" t="s">
        <v>161</v>
      </c>
      <c r="E320" s="6">
        <v>107.21280000000002</v>
      </c>
      <c r="F320" s="16" t="s">
        <v>330</v>
      </c>
      <c r="G320" s="7">
        <v>3</v>
      </c>
      <c r="H320" s="8" t="s">
        <v>330</v>
      </c>
      <c r="I320" s="5">
        <v>1</v>
      </c>
      <c r="J320" s="21"/>
    </row>
    <row r="321" spans="2:10" ht="14.25">
      <c r="B321" s="41"/>
      <c r="C321" s="16" t="s">
        <v>3</v>
      </c>
      <c r="D321" s="19" t="s">
        <v>266</v>
      </c>
      <c r="E321" s="6">
        <v>92.929984</v>
      </c>
      <c r="F321" s="16" t="s">
        <v>330</v>
      </c>
      <c r="G321" s="7">
        <v>8</v>
      </c>
      <c r="H321" s="8">
        <v>1000</v>
      </c>
      <c r="I321" s="5">
        <v>25</v>
      </c>
      <c r="J321" s="21"/>
    </row>
    <row r="322" spans="2:10" ht="14.25">
      <c r="B322" s="41"/>
      <c r="C322" s="16" t="s">
        <v>13</v>
      </c>
      <c r="D322" s="19" t="s">
        <v>103</v>
      </c>
      <c r="E322" s="6">
        <v>44.800000000000004</v>
      </c>
      <c r="F322" s="16" t="s">
        <v>330</v>
      </c>
      <c r="G322" s="7">
        <v>1</v>
      </c>
      <c r="H322" s="8" t="s">
        <v>330</v>
      </c>
      <c r="I322" s="5">
        <v>1</v>
      </c>
      <c r="J322" s="21"/>
    </row>
    <row r="323" spans="3:9" ht="14.25">
      <c r="F323" s="30" t="s">
        <v>330</v>
      </c>
    </row>
    <row r="324" spans="3:9" ht="14.25">
      <c r="C324" t="s">
        <v>231</v>
      </c>
      <c r="D324" t="s">
        <v>241</v>
      </c>
      <c r="E324" t="s">
        <v>245</v>
      </c>
      <c r="F324" s="30" t="s">
        <v>245</v>
      </c>
      <c r="G324" t="s">
        <v>245</v>
      </c>
      <c r="H324" t="s">
        <v>245</v>
      </c>
      <c r="I324" t="s">
        <v>245</v>
      </c>
    </row>
    <row r="325" spans="3:9" ht="14.25">
      <c r="C325" t="s">
        <v>245</v>
      </c>
      <c r="D325" t="s">
        <v>242</v>
      </c>
      <c r="E325" t="s">
        <v>245</v>
      </c>
      <c r="F325" s="30" t="s">
        <v>245</v>
      </c>
      <c r="G325" t="s">
        <v>245</v>
      </c>
      <c r="H325" t="s">
        <v>245</v>
      </c>
      <c r="I325" t="s">
        <v>245</v>
      </c>
    </row>
  </sheetData>
  <sheetProtection/>
  <mergeCells count="3">
    <mergeCell ref="C1:D3"/>
    <mergeCell ref="C4:D4"/>
    <mergeCell ref="H3:J3"/>
  </mergeCells>
  <hyperlinks>
    <hyperlink ref="E4" r:id="rId1" display="http://orele.ru/"/>
    <hyperlink ref="E1" r:id="rId2" display="pavel@orele.ru"/>
    <hyperlink ref="E2" r:id="rId3" display="anna@orele.ru"/>
  </hyperlinks>
  <printOptions/>
  <pageMargins left="0.7" right="0.26" top="0.34" bottom="0.26" header="0.3" footer="0.2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Кудрявцев Павел Евгеньевич</Manager>
  <Company>ООО КОНТАКТ</Company>
  <HyperlinkBase>kontakt-t.ru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лист на реле и колодки(сокеты)</dc:title>
  <dc:subject/>
  <dc:creator>Olia</dc:creator>
  <cp:keywords/>
  <dc:description/>
  <cp:lastModifiedBy>Кудрявцев Павел Евгеньевич (pavel@orele.ru)</cp:lastModifiedBy>
  <cp:lastPrinted>2024-04-03T13:45:53Z</cp:lastPrinted>
  <dcterms:created xsi:type="dcterms:W3CDTF">2013-04-24T14:05:11Z</dcterms:created>
  <dcterms:modified xsi:type="dcterms:W3CDTF">2024-04-18T07:28:35Z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